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andreaheinze-my.sharepoint.com/personal/kontakt_adh-consulting_de/Documents/Dokumente/Schultze&amp;Braun/Plauener Seidenweberei/Bank Liquiplanung/"/>
    </mc:Choice>
  </mc:AlternateContent>
  <xr:revisionPtr revIDLastSave="0" documentId="8_{0CC57BFF-2EC5-45A3-AD11-10773BB6E7BE}" xr6:coauthVersionLast="47" xr6:coauthVersionMax="47" xr10:uidLastSave="{00000000-0000-0000-0000-000000000000}"/>
  <bookViews>
    <workbookView xWindow="-110" yWindow="-110" windowWidth="24220" windowHeight="15500" xr2:uid="{00000000-000D-0000-FFFF-FFFF00000000}"/>
  </bookViews>
  <sheets>
    <sheet name="Liqui-Planung" sheetId="1" r:id="rId1"/>
    <sheet name="Wareneinsatz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" i="1" l="1"/>
  <c r="J89" i="1" s="1"/>
  <c r="H52" i="1"/>
  <c r="H46" i="1" l="1"/>
  <c r="H89" i="1" s="1"/>
  <c r="G89" i="1"/>
  <c r="I89" i="1"/>
  <c r="K89" i="1"/>
  <c r="M89" i="1"/>
  <c r="O89" i="1"/>
  <c r="Q89" i="1"/>
  <c r="E91" i="1"/>
  <c r="F91" i="1"/>
  <c r="E92" i="1"/>
  <c r="S89" i="1"/>
  <c r="H177" i="1" l="1"/>
  <c r="H97" i="1"/>
  <c r="G190" i="1"/>
  <c r="G97" i="1"/>
  <c r="G98" i="1" s="1"/>
  <c r="F177" i="1"/>
  <c r="F190" i="1"/>
  <c r="E100" i="1"/>
  <c r="F125" i="1"/>
  <c r="F102" i="1"/>
  <c r="T104" i="1"/>
  <c r="R104" i="1"/>
  <c r="P104" i="1"/>
  <c r="N104" i="1"/>
  <c r="L104" i="1"/>
  <c r="J104" i="1"/>
  <c r="H104" i="1"/>
  <c r="G104" i="1"/>
  <c r="K71" i="2"/>
  <c r="K68" i="2"/>
  <c r="K66" i="2"/>
  <c r="M65" i="2"/>
  <c r="K64" i="2"/>
  <c r="K63" i="2"/>
  <c r="M62" i="2"/>
  <c r="K61" i="2"/>
  <c r="K60" i="2"/>
  <c r="K59" i="2"/>
  <c r="K53" i="2"/>
  <c r="K54" i="2"/>
  <c r="K52" i="2"/>
  <c r="K50" i="2"/>
  <c r="K39" i="2"/>
  <c r="K40" i="2"/>
  <c r="K41" i="2"/>
  <c r="K42" i="2"/>
  <c r="K43" i="2"/>
  <c r="K44" i="2"/>
  <c r="K45" i="2"/>
  <c r="K46" i="2"/>
  <c r="K47" i="2"/>
  <c r="K48" i="2"/>
  <c r="K49" i="2"/>
  <c r="K38" i="2"/>
  <c r="I37" i="2"/>
  <c r="I36" i="2"/>
  <c r="K35" i="2"/>
  <c r="K34" i="2"/>
  <c r="K33" i="2"/>
  <c r="K32" i="2"/>
  <c r="K31" i="2"/>
  <c r="I31" i="2"/>
  <c r="I26" i="2"/>
  <c r="I27" i="2"/>
  <c r="I28" i="2"/>
  <c r="I29" i="2"/>
  <c r="I30" i="2"/>
  <c r="I18" i="2"/>
  <c r="I19" i="2"/>
  <c r="I17" i="2"/>
  <c r="I16" i="2"/>
  <c r="I15" i="2"/>
  <c r="I14" i="2"/>
  <c r="I13" i="2"/>
  <c r="I12" i="2"/>
  <c r="I11" i="2"/>
  <c r="I10" i="2"/>
  <c r="I5" i="2"/>
  <c r="I6" i="2"/>
  <c r="I7" i="2"/>
  <c r="I8" i="2"/>
  <c r="I9" i="2"/>
  <c r="I4" i="2"/>
  <c r="P177" i="1" l="1"/>
  <c r="N177" i="1"/>
  <c r="E158" i="1" l="1"/>
  <c r="E157" i="1"/>
  <c r="E162" i="1"/>
  <c r="E151" i="1"/>
  <c r="E150" i="1"/>
  <c r="E149" i="1"/>
  <c r="E148" i="1"/>
  <c r="E147" i="1"/>
  <c r="E146" i="1"/>
  <c r="E145" i="1"/>
  <c r="E144" i="1"/>
  <c r="E103" i="1"/>
  <c r="E189" i="1"/>
  <c r="E185" i="1"/>
  <c r="E179" i="1"/>
  <c r="E182" i="1" s="1"/>
  <c r="E177" i="1" l="1"/>
  <c r="E190" i="1"/>
  <c r="E94" i="1"/>
  <c r="E102" i="1" s="1"/>
  <c r="E106" i="1" s="1"/>
  <c r="E191" i="1" l="1"/>
  <c r="E97" i="1"/>
  <c r="E98" i="1" s="1"/>
  <c r="T3" i="1"/>
  <c r="F72" i="2"/>
  <c r="J101" i="1"/>
  <c r="E192" i="1" l="1"/>
  <c r="T101" i="1"/>
  <c r="T89" i="1"/>
  <c r="G179" i="1"/>
  <c r="G158" i="1"/>
  <c r="G180" i="1"/>
  <c r="M72" i="2"/>
  <c r="G72" i="2"/>
  <c r="H72" i="2"/>
  <c r="L72" i="2"/>
  <c r="N72" i="2"/>
  <c r="O72" i="2"/>
  <c r="P72" i="2"/>
  <c r="Q72" i="2"/>
  <c r="R72" i="2"/>
  <c r="S72" i="2"/>
  <c r="T72" i="2"/>
  <c r="U72" i="2"/>
  <c r="V72" i="2"/>
  <c r="W72" i="2"/>
  <c r="K24" i="2"/>
  <c r="K72" i="2" s="1"/>
  <c r="H100" i="1" s="1"/>
  <c r="H106" i="1" s="1"/>
  <c r="F4" i="1"/>
  <c r="F89" i="1" s="1"/>
  <c r="F100" i="1" s="1"/>
  <c r="G182" i="1" l="1"/>
  <c r="J25" i="2"/>
  <c r="I25" i="2" s="1"/>
  <c r="I72" i="2" l="1"/>
  <c r="G100" i="1" s="1"/>
  <c r="G106" i="1" s="1"/>
  <c r="J72" i="2"/>
  <c r="H110" i="1" l="1"/>
  <c r="I106" i="1" l="1"/>
  <c r="K106" i="1"/>
  <c r="M106" i="1"/>
  <c r="O106" i="1"/>
  <c r="Q106" i="1"/>
  <c r="S106" i="1"/>
  <c r="U106" i="1"/>
  <c r="R3" i="1" l="1"/>
  <c r="P3" i="1"/>
  <c r="P89" i="1" s="1"/>
  <c r="N3" i="1"/>
  <c r="N89" i="1" s="1"/>
  <c r="L3" i="1"/>
  <c r="L89" i="1" l="1"/>
  <c r="P101" i="1"/>
  <c r="R101" i="1"/>
  <c r="R89" i="1"/>
  <c r="L101" i="1" l="1"/>
  <c r="L106" i="1" s="1"/>
  <c r="F106" i="1"/>
  <c r="G136" i="1"/>
  <c r="G163" i="1"/>
  <c r="F113" i="1"/>
  <c r="T106" i="1"/>
  <c r="R106" i="1"/>
  <c r="P106" i="1"/>
  <c r="J106" i="1"/>
  <c r="F97" i="1"/>
  <c r="N101" i="1"/>
  <c r="F114" i="1"/>
  <c r="H125" i="1"/>
  <c r="F179" i="1"/>
  <c r="F182" i="1" s="1"/>
  <c r="U190" i="1"/>
  <c r="T190" i="1"/>
  <c r="U182" i="1"/>
  <c r="T182" i="1"/>
  <c r="U177" i="1"/>
  <c r="U191" i="1" s="1"/>
  <c r="U97" i="1"/>
  <c r="T97" i="1"/>
  <c r="S190" i="1"/>
  <c r="R190" i="1"/>
  <c r="S182" i="1"/>
  <c r="R182" i="1"/>
  <c r="S177" i="1"/>
  <c r="S191" i="1" s="1"/>
  <c r="S97" i="1"/>
  <c r="R97" i="1"/>
  <c r="Q190" i="1"/>
  <c r="P190" i="1"/>
  <c r="Q182" i="1"/>
  <c r="P182" i="1"/>
  <c r="Q177" i="1"/>
  <c r="Q191" i="1" s="1"/>
  <c r="Q97" i="1"/>
  <c r="P97" i="1"/>
  <c r="O190" i="1"/>
  <c r="N190" i="1"/>
  <c r="O182" i="1"/>
  <c r="N182" i="1"/>
  <c r="O177" i="1"/>
  <c r="O97" i="1"/>
  <c r="N97" i="1"/>
  <c r="T177" i="1"/>
  <c r="R177" i="1"/>
  <c r="M177" i="1"/>
  <c r="K177" i="1"/>
  <c r="I177" i="1"/>
  <c r="I191" i="1" s="1"/>
  <c r="M190" i="1"/>
  <c r="L190" i="1"/>
  <c r="M182" i="1"/>
  <c r="L182" i="1"/>
  <c r="M97" i="1"/>
  <c r="L97" i="1"/>
  <c r="L177" i="1"/>
  <c r="K190" i="1"/>
  <c r="J190" i="1"/>
  <c r="I190" i="1"/>
  <c r="H190" i="1"/>
  <c r="K182" i="1"/>
  <c r="J182" i="1"/>
  <c r="I182" i="1"/>
  <c r="H182" i="1"/>
  <c r="H191" i="1" s="1"/>
  <c r="J97" i="1"/>
  <c r="K97" i="1"/>
  <c r="I97" i="1"/>
  <c r="J177" i="1"/>
  <c r="K191" i="1" l="1"/>
  <c r="M191" i="1"/>
  <c r="O191" i="1"/>
  <c r="R191" i="1"/>
  <c r="G177" i="1"/>
  <c r="G191" i="1" s="1"/>
  <c r="F191" i="1"/>
  <c r="T191" i="1"/>
  <c r="L191" i="1"/>
  <c r="P191" i="1"/>
  <c r="J191" i="1"/>
  <c r="N106" i="1"/>
  <c r="N191" i="1" s="1"/>
  <c r="K98" i="1"/>
  <c r="K192" i="1" s="1"/>
  <c r="L98" i="1"/>
  <c r="L192" i="1" s="1"/>
  <c r="O98" i="1"/>
  <c r="O192" i="1" s="1"/>
  <c r="H98" i="1"/>
  <c r="H192" i="1" s="1"/>
  <c r="I98" i="1"/>
  <c r="I192" i="1" s="1"/>
  <c r="P98" i="1"/>
  <c r="P192" i="1" s="1"/>
  <c r="T98" i="1"/>
  <c r="T192" i="1" s="1"/>
  <c r="F98" i="1"/>
  <c r="F192" i="1" s="1"/>
  <c r="R98" i="1"/>
  <c r="R192" i="1" s="1"/>
  <c r="Q98" i="1"/>
  <c r="Q192" i="1" s="1"/>
  <c r="S98" i="1"/>
  <c r="S192" i="1" s="1"/>
  <c r="M98" i="1"/>
  <c r="M192" i="1" s="1"/>
  <c r="N98" i="1"/>
  <c r="J98" i="1"/>
  <c r="J192" i="1" s="1"/>
  <c r="N192" i="1" l="1"/>
  <c r="G192" i="1" l="1"/>
  <c r="U192" i="1"/>
  <c r="U98" i="1"/>
  <c r="U89" i="1"/>
  <c r="U89" i="1" a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Lobisch</author>
  </authors>
  <commentList>
    <comment ref="H10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Sarah Lobisch:</t>
        </r>
        <r>
          <rPr>
            <sz val="9"/>
            <color indexed="81"/>
            <rFont val="Segoe UI"/>
            <family val="2"/>
          </rPr>
          <t xml:space="preserve">
fällig seit Mai</t>
        </r>
      </text>
    </comment>
    <comment ref="H12" authorId="0" shapeId="0" xr:uid="{00000000-0006-0000-0000-000002000000}">
      <text>
        <r>
          <rPr>
            <b/>
            <sz val="9"/>
            <color indexed="81"/>
            <rFont val="Segoe UI"/>
            <family val="2"/>
          </rPr>
          <t>Sarah Lobisch:</t>
        </r>
        <r>
          <rPr>
            <sz val="9"/>
            <color indexed="81"/>
            <rFont val="Segoe UI"/>
            <family val="2"/>
          </rPr>
          <t xml:space="preserve">
fällig seit Mai</t>
        </r>
      </text>
    </comment>
    <comment ref="H13" authorId="0" shapeId="0" xr:uid="{00000000-0006-0000-0000-000003000000}">
      <text>
        <r>
          <rPr>
            <b/>
            <sz val="9"/>
            <color indexed="81"/>
            <rFont val="Segoe UI"/>
            <family val="2"/>
          </rPr>
          <t>Sarah Lobisch:</t>
        </r>
        <r>
          <rPr>
            <sz val="9"/>
            <color indexed="81"/>
            <rFont val="Segoe UI"/>
            <family val="2"/>
          </rPr>
          <t xml:space="preserve">
fällig seit Mai</t>
        </r>
      </text>
    </comment>
    <comment ref="H14" authorId="0" shapeId="0" xr:uid="{00000000-0006-0000-0000-000004000000}">
      <text>
        <r>
          <rPr>
            <b/>
            <sz val="9"/>
            <color indexed="81"/>
            <rFont val="Segoe UI"/>
            <family val="2"/>
          </rPr>
          <t>Sarah Lobisch:</t>
        </r>
        <r>
          <rPr>
            <sz val="9"/>
            <color indexed="81"/>
            <rFont val="Segoe UI"/>
            <family val="2"/>
          </rPr>
          <t xml:space="preserve">
fällig seit Mai</t>
        </r>
      </text>
    </comment>
    <comment ref="H17" authorId="0" shapeId="0" xr:uid="{00000000-0006-0000-0000-000005000000}">
      <text>
        <r>
          <rPr>
            <b/>
            <sz val="9"/>
            <color indexed="81"/>
            <rFont val="Segoe UI"/>
            <family val="2"/>
          </rPr>
          <t>Sarah Lobisch:</t>
        </r>
        <r>
          <rPr>
            <sz val="9"/>
            <color indexed="81"/>
            <rFont val="Segoe UI"/>
            <family val="2"/>
          </rPr>
          <t xml:space="preserve">
fällig seit Mai</t>
        </r>
      </text>
    </comment>
    <comment ref="H52" authorId="0" shapeId="0" xr:uid="{00000000-0006-0000-0000-000006000000}">
      <text>
        <r>
          <rPr>
            <b/>
            <sz val="9"/>
            <color indexed="81"/>
            <rFont val="Segoe UI"/>
            <family val="2"/>
          </rPr>
          <t>Sarah Lobisch:</t>
        </r>
        <r>
          <rPr>
            <sz val="9"/>
            <color indexed="81"/>
            <rFont val="Segoe UI"/>
            <family val="2"/>
          </rPr>
          <t xml:space="preserve">
50% Vorkasse vor Auslieferung</t>
        </r>
      </text>
    </comment>
    <comment ref="H74" authorId="0" shapeId="0" xr:uid="{00000000-0006-0000-0000-000007000000}">
      <text>
        <r>
          <rPr>
            <b/>
            <sz val="9"/>
            <color indexed="81"/>
            <rFont val="Segoe UI"/>
            <family val="2"/>
          </rPr>
          <t>Sarah Lobisch:</t>
        </r>
        <r>
          <rPr>
            <sz val="9"/>
            <color indexed="81"/>
            <rFont val="Segoe UI"/>
            <family val="2"/>
          </rPr>
          <t xml:space="preserve">
Auftragswert 13.394,41EUR wird mit VK-Zahlung Juni verrechnet</t>
        </r>
      </text>
    </comment>
    <comment ref="H75" authorId="0" shapeId="0" xr:uid="{00000000-0006-0000-0000-000008000000}">
      <text>
        <r>
          <rPr>
            <b/>
            <sz val="9"/>
            <color indexed="81"/>
            <rFont val="Segoe UI"/>
            <family val="2"/>
          </rPr>
          <t>Sarah Lobisch:</t>
        </r>
        <r>
          <rPr>
            <sz val="9"/>
            <color indexed="81"/>
            <rFont val="Segoe UI"/>
            <family val="2"/>
          </rPr>
          <t xml:space="preserve">
Auftragswert 839,49€ wird mit VK-Zahlung Juni verrechnet</t>
        </r>
      </text>
    </comment>
    <comment ref="H79" authorId="0" shapeId="0" xr:uid="{00000000-0006-0000-0000-000009000000}">
      <text>
        <r>
          <rPr>
            <b/>
            <sz val="9"/>
            <color indexed="81"/>
            <rFont val="Segoe UI"/>
            <family val="2"/>
          </rPr>
          <t>Sarah Lobisch:</t>
        </r>
        <r>
          <rPr>
            <sz val="9"/>
            <color indexed="81"/>
            <rFont val="Segoe UI"/>
            <family val="2"/>
          </rPr>
          <t xml:space="preserve">
Vorkasse vor Produktion</t>
        </r>
      </text>
    </comment>
    <comment ref="F102" authorId="0" shapeId="0" xr:uid="{00000000-0006-0000-0000-00000A000000}">
      <text>
        <r>
          <rPr>
            <b/>
            <sz val="9"/>
            <color indexed="81"/>
            <rFont val="Segoe UI"/>
            <family val="2"/>
          </rPr>
          <t>Sarah Lobisch:</t>
        </r>
        <r>
          <rPr>
            <sz val="9"/>
            <color indexed="81"/>
            <rFont val="Segoe UI"/>
            <family val="2"/>
          </rPr>
          <t xml:space="preserve">
vereinbarte Vorkasse immer zum 01. fällig+Nachzahlung März
</t>
        </r>
      </text>
    </comment>
    <comment ref="H102" authorId="0" shapeId="0" xr:uid="{00000000-0006-0000-0000-00000B000000}">
      <text>
        <r>
          <rPr>
            <b/>
            <sz val="9"/>
            <color indexed="81"/>
            <rFont val="Segoe UI"/>
            <family val="2"/>
          </rPr>
          <t>Sarah Lobisch:</t>
        </r>
        <r>
          <rPr>
            <sz val="9"/>
            <color indexed="81"/>
            <rFont val="Segoe UI"/>
            <family val="2"/>
          </rPr>
          <t xml:space="preserve">
vereinbarte Vorkasse immer zum 01. fällig</t>
        </r>
      </text>
    </comment>
    <comment ref="J102" authorId="0" shapeId="0" xr:uid="{00000000-0006-0000-0000-00000C000000}">
      <text>
        <r>
          <rPr>
            <b/>
            <sz val="9"/>
            <color indexed="81"/>
            <rFont val="Segoe UI"/>
            <family val="2"/>
          </rPr>
          <t>Sarah Lobisch:</t>
        </r>
        <r>
          <rPr>
            <sz val="9"/>
            <color indexed="81"/>
            <rFont val="Segoe UI"/>
            <family val="2"/>
          </rPr>
          <t xml:space="preserve">
vereinbarte Vorkasse immer zum 01. fällig</t>
        </r>
      </text>
    </comment>
    <comment ref="L102" authorId="0" shapeId="0" xr:uid="{00000000-0006-0000-0000-00000D000000}">
      <text>
        <r>
          <rPr>
            <b/>
            <sz val="9"/>
            <color indexed="81"/>
            <rFont val="Segoe UI"/>
            <family val="2"/>
          </rPr>
          <t>Sarah Lobisch:</t>
        </r>
        <r>
          <rPr>
            <sz val="9"/>
            <color indexed="81"/>
            <rFont val="Segoe UI"/>
            <family val="2"/>
          </rPr>
          <t xml:space="preserve">
vereinbarte Vorkasse immer zum 01. fällig</t>
        </r>
      </text>
    </comment>
    <comment ref="N102" authorId="0" shapeId="0" xr:uid="{00000000-0006-0000-0000-00000E000000}">
      <text>
        <r>
          <rPr>
            <b/>
            <sz val="9"/>
            <color indexed="81"/>
            <rFont val="Segoe UI"/>
            <family val="2"/>
          </rPr>
          <t>Sarah Lobisch:</t>
        </r>
        <r>
          <rPr>
            <sz val="9"/>
            <color indexed="81"/>
            <rFont val="Segoe UI"/>
            <family val="2"/>
          </rPr>
          <t xml:space="preserve">
vereinbarte Vorkasse immer zum 01. fällig</t>
        </r>
      </text>
    </comment>
    <comment ref="P102" authorId="0" shapeId="0" xr:uid="{00000000-0006-0000-0000-00000F000000}">
      <text>
        <r>
          <rPr>
            <b/>
            <sz val="9"/>
            <color indexed="81"/>
            <rFont val="Segoe UI"/>
            <family val="2"/>
          </rPr>
          <t>Sarah Lobisch:</t>
        </r>
        <r>
          <rPr>
            <sz val="9"/>
            <color indexed="81"/>
            <rFont val="Segoe UI"/>
            <family val="2"/>
          </rPr>
          <t xml:space="preserve">
vereinbarte Vorkasse immer zum 01. fällig</t>
        </r>
      </text>
    </comment>
    <comment ref="R102" authorId="0" shapeId="0" xr:uid="{00000000-0006-0000-0000-000010000000}">
      <text>
        <r>
          <rPr>
            <b/>
            <sz val="9"/>
            <color indexed="81"/>
            <rFont val="Segoe UI"/>
            <family val="2"/>
          </rPr>
          <t>Sarah Lobisch:</t>
        </r>
        <r>
          <rPr>
            <sz val="9"/>
            <color indexed="81"/>
            <rFont val="Segoe UI"/>
            <family val="2"/>
          </rPr>
          <t xml:space="preserve">
vereinbarte Vorkasse immer zum 01. fällig</t>
        </r>
      </text>
    </comment>
    <comment ref="T102" authorId="0" shapeId="0" xr:uid="{00000000-0006-0000-0000-000011000000}">
      <text>
        <r>
          <rPr>
            <b/>
            <sz val="9"/>
            <color indexed="81"/>
            <rFont val="Segoe UI"/>
            <family val="2"/>
          </rPr>
          <t>Sarah Lobisch:</t>
        </r>
        <r>
          <rPr>
            <sz val="9"/>
            <color indexed="81"/>
            <rFont val="Segoe UI"/>
            <family val="2"/>
          </rPr>
          <t xml:space="preserve">
vereinbarte Vorkasse immer zum 01. fällig</t>
        </r>
      </text>
    </comment>
    <comment ref="F103" authorId="0" shapeId="0" xr:uid="{00000000-0006-0000-0000-000012000000}">
      <text>
        <r>
          <rPr>
            <b/>
            <sz val="9"/>
            <color indexed="81"/>
            <rFont val="Segoe UI"/>
            <family val="2"/>
          </rPr>
          <t>Sarah Lobisch:</t>
        </r>
        <r>
          <rPr>
            <sz val="9"/>
            <color indexed="81"/>
            <rFont val="Segoe UI"/>
            <family val="2"/>
          </rPr>
          <t xml:space="preserve">
vereinbarte Vorkasse immer zum 01. fällig</t>
        </r>
      </text>
    </comment>
    <comment ref="H103" authorId="0" shapeId="0" xr:uid="{00000000-0006-0000-0000-000013000000}">
      <text>
        <r>
          <rPr>
            <b/>
            <sz val="9"/>
            <color indexed="81"/>
            <rFont val="Segoe UI"/>
            <family val="2"/>
          </rPr>
          <t>Sarah Lobisch:</t>
        </r>
        <r>
          <rPr>
            <sz val="9"/>
            <color indexed="81"/>
            <rFont val="Segoe UI"/>
            <family val="2"/>
          </rPr>
          <t xml:space="preserve">
vereinbarte Vorkasse immer zum 01. fällig</t>
        </r>
      </text>
    </comment>
    <comment ref="J103" authorId="0" shapeId="0" xr:uid="{00000000-0006-0000-0000-000014000000}">
      <text>
        <r>
          <rPr>
            <b/>
            <sz val="9"/>
            <color indexed="81"/>
            <rFont val="Segoe UI"/>
            <family val="2"/>
          </rPr>
          <t>Sarah Lobisch:</t>
        </r>
        <r>
          <rPr>
            <sz val="9"/>
            <color indexed="81"/>
            <rFont val="Segoe UI"/>
            <family val="2"/>
          </rPr>
          <t xml:space="preserve">
vereinbarte Vorkasse immer zum 01. fällig</t>
        </r>
      </text>
    </comment>
    <comment ref="L103" authorId="0" shapeId="0" xr:uid="{00000000-0006-0000-0000-000015000000}">
      <text>
        <r>
          <rPr>
            <b/>
            <sz val="9"/>
            <color indexed="81"/>
            <rFont val="Segoe UI"/>
            <family val="2"/>
          </rPr>
          <t>Sarah Lobisch:</t>
        </r>
        <r>
          <rPr>
            <sz val="9"/>
            <color indexed="81"/>
            <rFont val="Segoe UI"/>
            <family val="2"/>
          </rPr>
          <t xml:space="preserve">
vereinbarte Vorkasse immer zum 01. fällig</t>
        </r>
      </text>
    </comment>
    <comment ref="N103" authorId="0" shapeId="0" xr:uid="{00000000-0006-0000-0000-000016000000}">
      <text>
        <r>
          <rPr>
            <b/>
            <sz val="9"/>
            <color indexed="81"/>
            <rFont val="Segoe UI"/>
            <family val="2"/>
          </rPr>
          <t>Sarah Lobisch:</t>
        </r>
        <r>
          <rPr>
            <sz val="9"/>
            <color indexed="81"/>
            <rFont val="Segoe UI"/>
            <family val="2"/>
          </rPr>
          <t xml:space="preserve">
vereinbarte Vorkasse immer zum 01. fällig</t>
        </r>
      </text>
    </comment>
    <comment ref="P103" authorId="0" shapeId="0" xr:uid="{00000000-0006-0000-0000-000017000000}">
      <text>
        <r>
          <rPr>
            <b/>
            <sz val="9"/>
            <color indexed="81"/>
            <rFont val="Segoe UI"/>
            <family val="2"/>
          </rPr>
          <t>Sarah Lobisch:</t>
        </r>
        <r>
          <rPr>
            <sz val="9"/>
            <color indexed="81"/>
            <rFont val="Segoe UI"/>
            <family val="2"/>
          </rPr>
          <t xml:space="preserve">
vereinbarte Vorkasse immer zum 01. fällig</t>
        </r>
      </text>
    </comment>
    <comment ref="R103" authorId="0" shapeId="0" xr:uid="{00000000-0006-0000-0000-000018000000}">
      <text>
        <r>
          <rPr>
            <b/>
            <sz val="9"/>
            <color indexed="81"/>
            <rFont val="Segoe UI"/>
            <family val="2"/>
          </rPr>
          <t>Sarah Lobisch:</t>
        </r>
        <r>
          <rPr>
            <sz val="9"/>
            <color indexed="81"/>
            <rFont val="Segoe UI"/>
            <family val="2"/>
          </rPr>
          <t xml:space="preserve">
vereinbarte Vorkasse immer zum 01. fällig</t>
        </r>
      </text>
    </comment>
    <comment ref="T103" authorId="0" shapeId="0" xr:uid="{00000000-0006-0000-0000-000019000000}">
      <text>
        <r>
          <rPr>
            <b/>
            <sz val="9"/>
            <color indexed="81"/>
            <rFont val="Segoe UI"/>
            <family val="2"/>
          </rPr>
          <t>Sarah Lobisch:</t>
        </r>
        <r>
          <rPr>
            <sz val="9"/>
            <color indexed="81"/>
            <rFont val="Segoe UI"/>
            <family val="2"/>
          </rPr>
          <t xml:space="preserve">
vereinbarte Vorkasse immer zum 01. fällig</t>
        </r>
      </text>
    </comment>
    <comment ref="F104" authorId="0" shapeId="0" xr:uid="{00000000-0006-0000-0000-00001A000000}">
      <text>
        <r>
          <rPr>
            <b/>
            <sz val="9"/>
            <color indexed="81"/>
            <rFont val="Segoe UI"/>
            <family val="2"/>
          </rPr>
          <t>Sarah Lobisch:</t>
        </r>
        <r>
          <rPr>
            <sz val="9"/>
            <color indexed="81"/>
            <rFont val="Segoe UI"/>
            <family val="2"/>
          </rPr>
          <t xml:space="preserve">
vereinbarte Vorkasse immer zum 01. fällig</t>
        </r>
      </text>
    </comment>
    <comment ref="H104" authorId="0" shapeId="0" xr:uid="{00000000-0006-0000-0000-00001B000000}">
      <text>
        <r>
          <rPr>
            <b/>
            <sz val="9"/>
            <color indexed="81"/>
            <rFont val="Segoe UI"/>
            <family val="2"/>
          </rPr>
          <t>Sarah Lobisch:</t>
        </r>
        <r>
          <rPr>
            <sz val="9"/>
            <color indexed="81"/>
            <rFont val="Segoe UI"/>
            <family val="2"/>
          </rPr>
          <t xml:space="preserve">
vereinbarte Vorkasse 7259,00EUR immer zum 01. fällig + 2500EUR geschätzte Nachzahllung</t>
        </r>
      </text>
    </comment>
    <comment ref="J104" authorId="0" shapeId="0" xr:uid="{00000000-0006-0000-0000-00001C000000}">
      <text>
        <r>
          <rPr>
            <b/>
            <sz val="9"/>
            <color indexed="81"/>
            <rFont val="Segoe UI"/>
            <family val="2"/>
          </rPr>
          <t>Sarah Lobisch:</t>
        </r>
        <r>
          <rPr>
            <sz val="9"/>
            <color indexed="81"/>
            <rFont val="Segoe UI"/>
            <family val="2"/>
          </rPr>
          <t xml:space="preserve">
vereinbarte Vorkasse 7259,00EUR immer zum 01. fällig + 2500EUR geschätzte Nachzahllung</t>
        </r>
      </text>
    </comment>
    <comment ref="L104" authorId="0" shapeId="0" xr:uid="{00000000-0006-0000-0000-00001D000000}">
      <text>
        <r>
          <rPr>
            <b/>
            <sz val="9"/>
            <color indexed="81"/>
            <rFont val="Segoe UI"/>
            <family val="2"/>
          </rPr>
          <t>Sarah Lobisch:</t>
        </r>
        <r>
          <rPr>
            <sz val="9"/>
            <color indexed="81"/>
            <rFont val="Segoe UI"/>
            <family val="2"/>
          </rPr>
          <t xml:space="preserve">
vereinbarte Vorkasse 7259,00EUR immer zum 01. fällig + 2500EUR geschätzte Nachzahllung</t>
        </r>
      </text>
    </comment>
    <comment ref="N104" authorId="0" shapeId="0" xr:uid="{00000000-0006-0000-0000-00001E000000}">
      <text>
        <r>
          <rPr>
            <b/>
            <sz val="9"/>
            <color indexed="81"/>
            <rFont val="Segoe UI"/>
            <family val="2"/>
          </rPr>
          <t>Sarah Lobisch:</t>
        </r>
        <r>
          <rPr>
            <sz val="9"/>
            <color indexed="81"/>
            <rFont val="Segoe UI"/>
            <family val="2"/>
          </rPr>
          <t xml:space="preserve">
vereinbarte Vorkasse 7259,00EUR immer zum 01. fällig + 2500EUR geschätzte Nachzahllung</t>
        </r>
      </text>
    </comment>
    <comment ref="P104" authorId="0" shapeId="0" xr:uid="{00000000-0006-0000-0000-00001F000000}">
      <text>
        <r>
          <rPr>
            <b/>
            <sz val="9"/>
            <color indexed="81"/>
            <rFont val="Segoe UI"/>
            <family val="2"/>
          </rPr>
          <t>Sarah Lobisch:</t>
        </r>
        <r>
          <rPr>
            <sz val="9"/>
            <color indexed="81"/>
            <rFont val="Segoe UI"/>
            <family val="2"/>
          </rPr>
          <t xml:space="preserve">
vereinbarte Vorkasse 7259,00EUR immer zum 01. fällig + 2500EUR geschätzte Nachzahllung</t>
        </r>
      </text>
    </comment>
    <comment ref="R104" authorId="0" shapeId="0" xr:uid="{00000000-0006-0000-0000-000020000000}">
      <text>
        <r>
          <rPr>
            <b/>
            <sz val="9"/>
            <color indexed="81"/>
            <rFont val="Segoe UI"/>
            <family val="2"/>
          </rPr>
          <t>Sarah Lobisch:</t>
        </r>
        <r>
          <rPr>
            <sz val="9"/>
            <color indexed="81"/>
            <rFont val="Segoe UI"/>
            <family val="2"/>
          </rPr>
          <t xml:space="preserve">
vereinbarte Vorkasse 7259,00EUR immer zum 01. fällig + 2500EUR geschätzte Nachzahllung</t>
        </r>
      </text>
    </comment>
    <comment ref="T104" authorId="0" shapeId="0" xr:uid="{00000000-0006-0000-0000-000021000000}">
      <text>
        <r>
          <rPr>
            <b/>
            <sz val="9"/>
            <color indexed="81"/>
            <rFont val="Segoe UI"/>
            <family val="2"/>
          </rPr>
          <t>Sarah Lobisch:</t>
        </r>
        <r>
          <rPr>
            <sz val="9"/>
            <color indexed="81"/>
            <rFont val="Segoe UI"/>
            <family val="2"/>
          </rPr>
          <t xml:space="preserve">
vereinbarte Vorkasse 7259,00EUR immer zum 01. fällig + 2500EUR geschätzte Nachzahllung</t>
        </r>
      </text>
    </comment>
    <comment ref="F105" authorId="0" shapeId="0" xr:uid="{00000000-0006-0000-0000-000022000000}">
      <text>
        <r>
          <rPr>
            <b/>
            <sz val="9"/>
            <color indexed="81"/>
            <rFont val="Segoe UI"/>
            <family val="2"/>
          </rPr>
          <t>Sarah Lobisch:</t>
        </r>
        <r>
          <rPr>
            <sz val="9"/>
            <color indexed="81"/>
            <rFont val="Segoe UI"/>
            <family val="2"/>
          </rPr>
          <t xml:space="preserve">
Abrechnung März höher, da mehr Aufträge in Veredlung</t>
        </r>
      </text>
    </comment>
    <comment ref="N108" authorId="0" shapeId="0" xr:uid="{00000000-0006-0000-0000-000023000000}">
      <text>
        <r>
          <rPr>
            <b/>
            <sz val="9"/>
            <color indexed="81"/>
            <rFont val="Segoe UI"/>
            <family val="2"/>
          </rPr>
          <t>Sarah Lobisch:</t>
        </r>
        <r>
          <rPr>
            <sz val="9"/>
            <color indexed="81"/>
            <rFont val="Segoe UI"/>
            <family val="2"/>
          </rPr>
          <t xml:space="preserve">
300kg SOL</t>
        </r>
      </text>
    </comment>
    <comment ref="R108" authorId="0" shapeId="0" xr:uid="{00000000-0006-0000-0000-000024000000}">
      <text>
        <r>
          <rPr>
            <b/>
            <sz val="9"/>
            <color indexed="81"/>
            <rFont val="Segoe UI"/>
            <family val="2"/>
          </rPr>
          <t>Sarah Lobisch:</t>
        </r>
        <r>
          <rPr>
            <sz val="9"/>
            <color indexed="81"/>
            <rFont val="Segoe UI"/>
            <family val="2"/>
          </rPr>
          <t xml:space="preserve">
300kg SOL</t>
        </r>
      </text>
    </comment>
    <comment ref="H109" authorId="0" shapeId="0" xr:uid="{00000000-0006-0000-0000-000025000000}">
      <text>
        <r>
          <rPr>
            <b/>
            <sz val="9"/>
            <color indexed="81"/>
            <rFont val="Segoe UI"/>
            <family val="2"/>
          </rPr>
          <t>Sarah Lobisch:</t>
        </r>
        <r>
          <rPr>
            <sz val="9"/>
            <color indexed="81"/>
            <rFont val="Segoe UI"/>
            <family val="2"/>
          </rPr>
          <t xml:space="preserve">
150kg bei Ongetta
</t>
        </r>
      </text>
    </comment>
    <comment ref="H110" authorId="0" shapeId="0" xr:uid="{00000000-0006-0000-0000-000026000000}">
      <text>
        <r>
          <rPr>
            <b/>
            <sz val="9"/>
            <color indexed="81"/>
            <rFont val="Segoe UI"/>
            <family val="2"/>
          </rPr>
          <t>Sarah Lobisch:</t>
        </r>
        <r>
          <rPr>
            <sz val="9"/>
            <color indexed="81"/>
            <rFont val="Segoe UI"/>
            <family val="2"/>
          </rPr>
          <t xml:space="preserve">
pinie+ash+cerise red</t>
        </r>
      </text>
    </comment>
    <comment ref="G114" authorId="0" shapeId="0" xr:uid="{00000000-0006-0000-0000-000027000000}">
      <text>
        <r>
          <rPr>
            <b/>
            <sz val="9"/>
            <color indexed="81"/>
            <rFont val="Segoe UI"/>
            <family val="2"/>
          </rPr>
          <t>Sarah Lobisch:</t>
        </r>
        <r>
          <rPr>
            <sz val="9"/>
            <color indexed="81"/>
            <rFont val="Segoe UI"/>
            <family val="2"/>
          </rPr>
          <t xml:space="preserve">
Textilcolor dd-Chemie</t>
        </r>
      </text>
    </comment>
    <comment ref="H122" authorId="0" shapeId="0" xr:uid="{00000000-0006-0000-0000-000028000000}">
      <text>
        <r>
          <rPr>
            <b/>
            <sz val="9"/>
            <color indexed="81"/>
            <rFont val="Segoe UI"/>
            <family val="2"/>
          </rPr>
          <t>Sarah Lobisch:</t>
        </r>
        <r>
          <rPr>
            <sz val="9"/>
            <color indexed="81"/>
            <rFont val="Segoe UI"/>
            <family val="2"/>
          </rPr>
          <t xml:space="preserve">
15kg für Nibico</t>
        </r>
      </text>
    </comment>
    <comment ref="F125" authorId="0" shapeId="0" xr:uid="{00000000-0006-0000-0000-000029000000}">
      <text>
        <r>
          <rPr>
            <b/>
            <sz val="9"/>
            <color indexed="81"/>
            <rFont val="Segoe UI"/>
            <family val="2"/>
          </rPr>
          <t>Sarah Lobisch:</t>
        </r>
        <r>
          <rPr>
            <sz val="9"/>
            <color indexed="81"/>
            <rFont val="Segoe UI"/>
            <family val="2"/>
          </rPr>
          <t xml:space="preserve">
RE</t>
        </r>
      </text>
    </comment>
    <comment ref="H125" authorId="0" shapeId="0" xr:uid="{00000000-0006-0000-0000-00002A000000}">
      <text>
        <r>
          <rPr>
            <b/>
            <sz val="9"/>
            <color indexed="81"/>
            <rFont val="Segoe UI"/>
            <family val="2"/>
          </rPr>
          <t>Sarah Lobisch:</t>
        </r>
        <r>
          <rPr>
            <sz val="9"/>
            <color indexed="81"/>
            <rFont val="Segoe UI"/>
            <family val="2"/>
          </rPr>
          <t xml:space="preserve">
VA 02 + VA 04</t>
        </r>
      </text>
    </comment>
    <comment ref="J125" authorId="0" shapeId="0" xr:uid="{00000000-0006-0000-0000-00002B000000}">
      <text>
        <r>
          <rPr>
            <b/>
            <sz val="9"/>
            <color indexed="81"/>
            <rFont val="Segoe UI"/>
            <family val="2"/>
          </rPr>
          <t>Sarah Lobisch:</t>
        </r>
        <r>
          <rPr>
            <sz val="9"/>
            <color indexed="81"/>
            <rFont val="Segoe UI"/>
            <family val="2"/>
          </rPr>
          <t xml:space="preserve">
Ausrüsten minardi-Gewebe
</t>
        </r>
      </text>
    </comment>
    <comment ref="G136" authorId="0" shapeId="0" xr:uid="{00000000-0006-0000-0000-00002C000000}">
      <text>
        <r>
          <rPr>
            <b/>
            <sz val="9"/>
            <color indexed="81"/>
            <rFont val="Segoe UI"/>
            <family val="2"/>
          </rPr>
          <t>Sarah Lobisch:
951,74€ für 4/25 + 198,24€ für 1/26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Lobisch</author>
  </authors>
  <commentList>
    <comment ref="F32" authorId="0" shapeId="0" xr:uid="{00000000-0006-0000-0100-000001000000}">
      <text>
        <r>
          <rPr>
            <b/>
            <sz val="9"/>
            <color indexed="81"/>
            <rFont val="Segoe UI"/>
            <family val="2"/>
          </rPr>
          <t>Sarah Lobisch:</t>
        </r>
        <r>
          <rPr>
            <sz val="9"/>
            <color indexed="81"/>
            <rFont val="Segoe UI"/>
            <family val="2"/>
          </rPr>
          <t xml:space="preserve">
50% Vorkasse vor Produktion</t>
        </r>
      </text>
    </comment>
    <comment ref="J32" authorId="0" shapeId="0" xr:uid="{00000000-0006-0000-0100-000002000000}">
      <text>
        <r>
          <rPr>
            <b/>
            <sz val="9"/>
            <color indexed="81"/>
            <rFont val="Segoe UI"/>
            <family val="2"/>
          </rPr>
          <t>Sarah Lobisch:</t>
        </r>
        <r>
          <rPr>
            <sz val="9"/>
            <color indexed="81"/>
            <rFont val="Segoe UI"/>
            <family val="2"/>
          </rPr>
          <t xml:space="preserve">
50% Vorkasse vor Auslieferung</t>
        </r>
      </text>
    </comment>
    <comment ref="K51" authorId="0" shapeId="0" xr:uid="{00000000-0006-0000-0100-000003000000}">
      <text>
        <r>
          <rPr>
            <b/>
            <sz val="9"/>
            <color indexed="81"/>
            <rFont val="Segoe UI"/>
            <family val="2"/>
          </rPr>
          <t>Sarah Lobisch:</t>
        </r>
        <r>
          <rPr>
            <sz val="9"/>
            <color indexed="81"/>
            <rFont val="Segoe UI"/>
            <family val="2"/>
          </rPr>
          <t xml:space="preserve">
keine Kosten da Lagerware</t>
        </r>
      </text>
    </comment>
    <comment ref="L57" authorId="0" shapeId="0" xr:uid="{00000000-0006-0000-0100-000004000000}">
      <text>
        <r>
          <rPr>
            <b/>
            <sz val="9"/>
            <color indexed="81"/>
            <rFont val="Segoe UI"/>
            <family val="2"/>
          </rPr>
          <t>Sarah Lobisch:</t>
        </r>
        <r>
          <rPr>
            <sz val="9"/>
            <color indexed="81"/>
            <rFont val="Segoe UI"/>
            <family val="2"/>
          </rPr>
          <t xml:space="preserve">
Auftragswert 13.394,41EUR wird mit VK-Zahlung Juni verrechnet</t>
        </r>
      </text>
    </comment>
    <comment ref="L58" authorId="0" shapeId="0" xr:uid="{00000000-0006-0000-0100-000005000000}">
      <text>
        <r>
          <rPr>
            <b/>
            <sz val="9"/>
            <color indexed="81"/>
            <rFont val="Segoe UI"/>
            <family val="2"/>
          </rPr>
          <t>Sarah Lobisch:</t>
        </r>
        <r>
          <rPr>
            <sz val="9"/>
            <color indexed="81"/>
            <rFont val="Segoe UI"/>
            <family val="2"/>
          </rPr>
          <t xml:space="preserve">
Auftragswert 839,49€ wird mit VK-Zahlung Juni verrechnet</t>
        </r>
      </text>
    </comment>
    <comment ref="L62" authorId="0" shapeId="0" xr:uid="{00000000-0006-0000-0100-000006000000}">
      <text>
        <r>
          <rPr>
            <b/>
            <sz val="9"/>
            <color indexed="81"/>
            <rFont val="Segoe UI"/>
            <family val="2"/>
          </rPr>
          <t>Sarah Lobisch:</t>
        </r>
        <r>
          <rPr>
            <sz val="9"/>
            <color indexed="81"/>
            <rFont val="Segoe UI"/>
            <family val="2"/>
          </rPr>
          <t xml:space="preserve">
Vorkasse vor Produktion</t>
        </r>
      </text>
    </comment>
    <comment ref="K68" authorId="0" shapeId="0" xr:uid="{00000000-0006-0000-0100-000007000000}">
      <text>
        <r>
          <rPr>
            <b/>
            <sz val="9"/>
            <color indexed="81"/>
            <rFont val="Segoe UI"/>
            <family val="2"/>
          </rPr>
          <t>Sarah Lobisch:</t>
        </r>
        <r>
          <rPr>
            <sz val="9"/>
            <color indexed="81"/>
            <rFont val="Segoe UI"/>
            <family val="2"/>
          </rPr>
          <t xml:space="preserve">
Garn</t>
        </r>
      </text>
    </comment>
    <comment ref="O68" authorId="0" shapeId="0" xr:uid="{00000000-0006-0000-0100-000008000000}">
      <text>
        <r>
          <rPr>
            <b/>
            <sz val="9"/>
            <color indexed="81"/>
            <rFont val="Segoe UI"/>
            <family val="2"/>
          </rPr>
          <t>Sarah Lobisch:</t>
        </r>
        <r>
          <rPr>
            <sz val="9"/>
            <color indexed="81"/>
            <rFont val="Segoe UI"/>
            <family val="2"/>
          </rPr>
          <t xml:space="preserve">
Ausrüstung extern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1">
    <bk>
      <extLst>
        <ext uri="{3e2802c4-a4d2-4d8b-9148-e3be6c30e623}">
          <xlrd:rvb i="0"/>
        </ext>
      </extLst>
    </bk>
  </futureMetadata>
  <cellMetadata count="1">
    <bk>
      <rc t="1" v="0"/>
    </bk>
  </cellMetadata>
  <valueMetadata count="1">
    <bk>
      <rc t="2" v="0"/>
    </bk>
  </valueMetadata>
</metadata>
</file>

<file path=xl/sharedStrings.xml><?xml version="1.0" encoding="utf-8"?>
<sst xmlns="http://schemas.openxmlformats.org/spreadsheetml/2006/main" count="620" uniqueCount="268">
  <si>
    <t>Ist Apr 26</t>
  </si>
  <si>
    <t>Ist Mai 26</t>
  </si>
  <si>
    <t>Soll Jun 26</t>
  </si>
  <si>
    <t>Ist Jun 26</t>
  </si>
  <si>
    <t>Soll Juli 26</t>
  </si>
  <si>
    <t>Ist Juli 26</t>
  </si>
  <si>
    <t>Anmerkungen</t>
  </si>
  <si>
    <t xml:space="preserve">Zwischensumme </t>
  </si>
  <si>
    <t>Mieteinnahmen</t>
  </si>
  <si>
    <t>Gesamterlöse</t>
  </si>
  <si>
    <t>Strom</t>
  </si>
  <si>
    <t xml:space="preserve">Gas </t>
  </si>
  <si>
    <t>Chemikalien</t>
  </si>
  <si>
    <t>Verpackung</t>
  </si>
  <si>
    <t>Personal inkl. Lohnsteuer</t>
  </si>
  <si>
    <t>SV-Beiträge</t>
  </si>
  <si>
    <t>Summe Personalkosten</t>
  </si>
  <si>
    <t>Frachtkosten</t>
  </si>
  <si>
    <t>insolvenzsteuerl. Buchhaltung</t>
  </si>
  <si>
    <t>Rundfunk</t>
  </si>
  <si>
    <t>Bürokosten</t>
  </si>
  <si>
    <t>Wartung</t>
  </si>
  <si>
    <t>Prüfungskosten</t>
  </si>
  <si>
    <t>Instandhaltung</t>
  </si>
  <si>
    <t>Retainer M&amp;A Prozess</t>
  </si>
  <si>
    <t xml:space="preserve">Zinsen Insolvenzausfallgeld </t>
  </si>
  <si>
    <t>Gerichtskosten</t>
  </si>
  <si>
    <t>Ergebnis</t>
  </si>
  <si>
    <t>Summe Sonstige Aufwendungen</t>
  </si>
  <si>
    <t>Büromaterial</t>
  </si>
  <si>
    <t>Reinigungsmittel, Zubehör</t>
  </si>
  <si>
    <t>Sonstiger Betriebsbedarf</t>
  </si>
  <si>
    <t>Sonstiges</t>
  </si>
  <si>
    <t>Soll August 26</t>
  </si>
  <si>
    <t>Ist August 26</t>
  </si>
  <si>
    <t>Soll September 26</t>
  </si>
  <si>
    <t>Ist September 26</t>
  </si>
  <si>
    <t>Soll Oktober 26</t>
  </si>
  <si>
    <t>Ist Oktober 26</t>
  </si>
  <si>
    <t>Soll November 26</t>
  </si>
  <si>
    <t>Ist November 26</t>
  </si>
  <si>
    <t>Soll Dezember 26</t>
  </si>
  <si>
    <t>Ist Dezember 26</t>
  </si>
  <si>
    <t>Summe Materialeinsatz incl. RHB</t>
  </si>
  <si>
    <t>Grundsteuer</t>
  </si>
  <si>
    <t>quartalsweise 15.02, 15.05., 15.08., 15.11.</t>
  </si>
  <si>
    <t>Gewerbesteuer</t>
  </si>
  <si>
    <t>Netznutzung</t>
  </si>
  <si>
    <t>Stadtwerke Erdgas Plauen</t>
  </si>
  <si>
    <t>Stadtwerke Strom Plauen</t>
  </si>
  <si>
    <t>Verteilnetz/Envia</t>
  </si>
  <si>
    <t>letzte Rate fällig am 11.11.2026</t>
  </si>
  <si>
    <t>Verteilnetz Plauen</t>
  </si>
  <si>
    <t>Grüner Punkt</t>
  </si>
  <si>
    <t>Rückzahlung Guthaben Verpackungsmeldung</t>
  </si>
  <si>
    <t>Landratsamt nach Bescheid 30.04., 30.10.</t>
  </si>
  <si>
    <t>Betriebshaftpflicht</t>
  </si>
  <si>
    <t>Ind.-Feuer</t>
  </si>
  <si>
    <t>Sach-Gewberbevers. Für Inhalt</t>
  </si>
  <si>
    <t>Sach-Gewberbevers. Für Gebäude</t>
  </si>
  <si>
    <t>Feuer-Betriebsunterbrechung</t>
  </si>
  <si>
    <t>Rechtschutz bereits bezahlt bis 29.03.2027</t>
  </si>
  <si>
    <t>sicherheitstechnische Betreuung</t>
  </si>
  <si>
    <t>Miet-und Servicerate</t>
  </si>
  <si>
    <t>ZWAV Trinkwasser/Abwasser</t>
  </si>
  <si>
    <t>Miete f Putzlappen und Ölmatten</t>
  </si>
  <si>
    <t>Gebühr Website+Onlineshop</t>
  </si>
  <si>
    <t>Gebühr Creative Cloud</t>
  </si>
  <si>
    <t xml:space="preserve">arbeitsmedizinische Betreuung </t>
  </si>
  <si>
    <t>MVV Leasing</t>
  </si>
  <si>
    <t>Leasing Server</t>
  </si>
  <si>
    <t>Ausrüsten Seidengewebe</t>
  </si>
  <si>
    <t>Fremd-Konfektion</t>
  </si>
  <si>
    <t>SB schneiden</t>
  </si>
  <si>
    <t>Ausrüsten PES-Gewebe (derzeit keine Kundenaufträge f. PES)</t>
  </si>
  <si>
    <t>PES</t>
  </si>
  <si>
    <t>Schappe natur</t>
  </si>
  <si>
    <t>Schappe farbig</t>
  </si>
  <si>
    <t>Baumwollgewebe f. Cottonline</t>
  </si>
  <si>
    <t>Kettherstellung PES</t>
  </si>
  <si>
    <t>Brinkhaus Polen</t>
  </si>
  <si>
    <t>Minardi</t>
  </si>
  <si>
    <t>bereits erhaltene Vorkassen</t>
  </si>
  <si>
    <t>Auftragsbestätigung</t>
  </si>
  <si>
    <t>Monat Lieferung</t>
  </si>
  <si>
    <t>Abfallentsorgung Plauen Pappe/Papier nach Bedarf</t>
  </si>
  <si>
    <t>Kundenfrachten</t>
  </si>
  <si>
    <t>Jahresabschlusskosten</t>
  </si>
  <si>
    <t>IT-Kosten bei Bedarf</t>
  </si>
  <si>
    <t>-</t>
  </si>
  <si>
    <t>ausstehende Zahlungen f. RE</t>
  </si>
  <si>
    <t>erfolgte Zahlungen f. RE</t>
  </si>
  <si>
    <t>techn. Vers. Stapler</t>
  </si>
  <si>
    <t>Frachten zu Lieferanten + Garn</t>
  </si>
  <si>
    <t>ortsfeste Geräte und VDS</t>
  </si>
  <si>
    <t>ISO Zertifikat Überwachungsaudit</t>
  </si>
  <si>
    <t>Oekotex</t>
  </si>
  <si>
    <t>Stadtwerke Multimedia (Telefon+Internet)</t>
  </si>
  <si>
    <t>Kessel Revision (2xjährlich) VKK Standardkessel</t>
  </si>
  <si>
    <t xml:space="preserve">Kessel TÜV-Prüfung </t>
  </si>
  <si>
    <t>Jahreprüfung Toranlagen</t>
  </si>
  <si>
    <t>Eichung Waagen (1xjährlich)</t>
  </si>
  <si>
    <t>Gabelstapler UVV-Prüfung (1xjährlich)</t>
  </si>
  <si>
    <t>Anichini</t>
  </si>
  <si>
    <t>2200540</t>
  </si>
  <si>
    <t>2200541</t>
  </si>
  <si>
    <t>2200564</t>
  </si>
  <si>
    <t>Sabine Schilg</t>
  </si>
  <si>
    <t>2200453</t>
  </si>
  <si>
    <t>Juni</t>
  </si>
  <si>
    <t>Umsätze geplant - gebunden</t>
  </si>
  <si>
    <t>HR Design</t>
  </si>
  <si>
    <t>Downright</t>
  </si>
  <si>
    <t>Hanover Direct</t>
  </si>
  <si>
    <t>Juli</t>
  </si>
  <si>
    <t>Nibico</t>
  </si>
  <si>
    <t>Rechnungsbetrag noch nicht bekannt - meist zw. 700-800€ - Abrechnung Vormonat</t>
  </si>
  <si>
    <t>2200569</t>
  </si>
  <si>
    <t>BAP</t>
  </si>
  <si>
    <t>Luolai</t>
  </si>
  <si>
    <t>Umsätze geplant - ungebunden</t>
  </si>
  <si>
    <t>Biese aus Kundengewebe fertigen</t>
  </si>
  <si>
    <t>Reißverschluss Seide</t>
  </si>
  <si>
    <t>Reißverschluss BAP</t>
  </si>
  <si>
    <t>Nähgarn</t>
  </si>
  <si>
    <t>Biese</t>
  </si>
  <si>
    <t>Knöpfe</t>
  </si>
  <si>
    <t>Etiketten</t>
  </si>
  <si>
    <t>Toilettenpapier, Papierhandtücher, Seife usw</t>
  </si>
  <si>
    <t>Verlängerung Lizenz Telefonanlage</t>
  </si>
  <si>
    <t>Verlängerung Lizenz SSL Zertifikat</t>
  </si>
  <si>
    <t>Verlängerung Lizenz Securepoint UMA</t>
  </si>
  <si>
    <t>100% Daune</t>
  </si>
  <si>
    <t>70/30 Daune</t>
  </si>
  <si>
    <t>90/10 Daune</t>
  </si>
  <si>
    <t>Zoll Garn (immer fällig bei Garnlieferung)</t>
  </si>
  <si>
    <t>Innensteg</t>
  </si>
  <si>
    <t>2200575</t>
  </si>
  <si>
    <t>2200583</t>
  </si>
  <si>
    <t xml:space="preserve">Rückzahlung Guthaben </t>
  </si>
  <si>
    <t>2200582</t>
  </si>
  <si>
    <t>2200587</t>
  </si>
  <si>
    <t>Prüfungsgebühr Azubis</t>
  </si>
  <si>
    <t>50% Anzahlung Gewebe Downright</t>
  </si>
  <si>
    <t>AB220418</t>
  </si>
  <si>
    <t>Betrag wird mit kommenden Bestellungen verrechnet</t>
  </si>
  <si>
    <t>Betten Wirth</t>
  </si>
  <si>
    <t>2200592</t>
  </si>
  <si>
    <t>2200595</t>
  </si>
  <si>
    <t>2200596</t>
  </si>
  <si>
    <t>2200599</t>
  </si>
  <si>
    <t>Danimarca</t>
  </si>
  <si>
    <t>2200611</t>
  </si>
  <si>
    <t>2200607</t>
  </si>
  <si>
    <t>2200613</t>
  </si>
  <si>
    <t>2200612</t>
  </si>
  <si>
    <t>2200615</t>
  </si>
  <si>
    <t>2200614</t>
  </si>
  <si>
    <t>OSS</t>
  </si>
  <si>
    <t>quartalsweise</t>
  </si>
  <si>
    <t>Brinkhaus</t>
  </si>
  <si>
    <t>2200628</t>
  </si>
  <si>
    <t>August</t>
  </si>
  <si>
    <t>2200629</t>
  </si>
  <si>
    <t>2200634</t>
  </si>
  <si>
    <t>2200632</t>
  </si>
  <si>
    <t>In dekor</t>
  </si>
  <si>
    <t>2200639</t>
  </si>
  <si>
    <t>AUH Reiter</t>
  </si>
  <si>
    <t>2200645</t>
  </si>
  <si>
    <t>2200643</t>
  </si>
  <si>
    <t>Stadtwerke Strom</t>
  </si>
  <si>
    <t>2200650</t>
  </si>
  <si>
    <t>SC Sanodor</t>
  </si>
  <si>
    <t>2200652</t>
  </si>
  <si>
    <t>SARL Atelier L&amp;B</t>
  </si>
  <si>
    <t>2200653</t>
  </si>
  <si>
    <t>Umsatz April</t>
  </si>
  <si>
    <t>Kosten April</t>
  </si>
  <si>
    <t>Umsatz Mai</t>
  </si>
  <si>
    <t>Kosten Mai</t>
  </si>
  <si>
    <t>Umsatz Juni</t>
  </si>
  <si>
    <t>Kosten Juni</t>
  </si>
  <si>
    <t>Umsatz Juli</t>
  </si>
  <si>
    <t>Kosten Juli</t>
  </si>
  <si>
    <t>Umsatz August</t>
  </si>
  <si>
    <t>Kosten August</t>
  </si>
  <si>
    <t>Kosten September</t>
  </si>
  <si>
    <t>Umsatz Oktober</t>
  </si>
  <si>
    <t>Kosten Oktober</t>
  </si>
  <si>
    <t>Umsatz November</t>
  </si>
  <si>
    <t>Kosten November</t>
  </si>
  <si>
    <t>Umsatz Dezember</t>
  </si>
  <si>
    <t>Kosten Dezember</t>
  </si>
  <si>
    <t>Umsatz September</t>
  </si>
  <si>
    <t>Neu</t>
  </si>
  <si>
    <t>Materialeinsatz Aufträge ungebunden</t>
  </si>
  <si>
    <t>Materialeinsatz gebundene Aufträge</t>
  </si>
  <si>
    <t>Aufstellung Materialeinsatz detailliert für Kontrolle</t>
  </si>
  <si>
    <t>Kosten für ausländischen Zahlungsverkehr</t>
  </si>
  <si>
    <t>2200657</t>
  </si>
  <si>
    <t>2200649</t>
  </si>
  <si>
    <t>Kathrin Glock</t>
  </si>
  <si>
    <t>2200655</t>
  </si>
  <si>
    <t>4200475</t>
  </si>
  <si>
    <t>4200476</t>
  </si>
  <si>
    <t>4200479</t>
  </si>
  <si>
    <t>4200486</t>
  </si>
  <si>
    <t>4200487</t>
  </si>
  <si>
    <t>4200497</t>
  </si>
  <si>
    <t>4200505</t>
  </si>
  <si>
    <t>4200517</t>
  </si>
  <si>
    <t>4200523</t>
  </si>
  <si>
    <t>4200526</t>
  </si>
  <si>
    <t>4200546</t>
  </si>
  <si>
    <t>Golf</t>
  </si>
  <si>
    <t>2200661</t>
  </si>
  <si>
    <t>Faranees</t>
  </si>
  <si>
    <t>2200660</t>
  </si>
  <si>
    <t>2200659</t>
  </si>
  <si>
    <t>2200658</t>
  </si>
  <si>
    <t>2200663</t>
  </si>
  <si>
    <t>2200662</t>
  </si>
  <si>
    <t>4200551</t>
  </si>
  <si>
    <t>Ursula Schoser</t>
  </si>
  <si>
    <t>2200665</t>
  </si>
  <si>
    <t>Julius Berner</t>
  </si>
  <si>
    <t>2200666</t>
  </si>
  <si>
    <t>4200555</t>
  </si>
  <si>
    <t>Andreas Rapp</t>
  </si>
  <si>
    <t>2200667</t>
  </si>
  <si>
    <t>4200556</t>
  </si>
  <si>
    <t>Bettenhaus Weiss</t>
  </si>
  <si>
    <t>2200671</t>
  </si>
  <si>
    <t>4200557</t>
  </si>
  <si>
    <t>4200558</t>
  </si>
  <si>
    <t>2200669</t>
  </si>
  <si>
    <t>2200670</t>
  </si>
  <si>
    <t>4200559</t>
  </si>
  <si>
    <t>Bestand / Neu</t>
  </si>
  <si>
    <t>Bestand</t>
  </si>
  <si>
    <t>SUMMEN</t>
  </si>
  <si>
    <t>4200560</t>
  </si>
  <si>
    <t>Kunde</t>
  </si>
  <si>
    <t>Förderung Azubi</t>
  </si>
  <si>
    <t>Lieferant</t>
  </si>
  <si>
    <t>Versicherungen</t>
  </si>
  <si>
    <t xml:space="preserve">Tilgung Kredit </t>
  </si>
  <si>
    <t>Steuerbüro</t>
  </si>
  <si>
    <t>Dienstleister</t>
  </si>
  <si>
    <t>Beratung Extern</t>
  </si>
  <si>
    <t>Materialeinsatz</t>
  </si>
  <si>
    <t>Summe insolvenzbedingte Ausgaben</t>
  </si>
  <si>
    <t>Gesamtausgaben ohne insolvenzbedingte Ausgaben</t>
  </si>
  <si>
    <t>Bewilligung erfolgt 1/4 jährlich</t>
  </si>
  <si>
    <t>Insolvenzbedingte Aufwendungen</t>
  </si>
  <si>
    <t>Sonstige Aufwendungen</t>
  </si>
  <si>
    <t>Sonstige Erträge</t>
  </si>
  <si>
    <t>Personalkosten</t>
  </si>
  <si>
    <t>4200563</t>
  </si>
  <si>
    <t>2200674</t>
  </si>
  <si>
    <t>2200673</t>
  </si>
  <si>
    <t>2115936</t>
  </si>
  <si>
    <t>4200140</t>
  </si>
  <si>
    <t>Ist 01 - 03/26</t>
  </si>
  <si>
    <t>Erstattung LVM</t>
  </si>
  <si>
    <t>Summe Materialeinsatz detailliert für Kontrolle</t>
  </si>
  <si>
    <t>30% vom Verkaufswert, da Kosten Zubehör extra aufgeschlüsselt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</si>
</sst>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??\ _€_-;_-@_-"/>
    <numFmt numFmtId="165" formatCode="#,##0.00\ &quot;€&quot;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48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63">
    <xf numFmtId="0" fontId="0" fillId="0" borderId="0" xfId="0"/>
    <xf numFmtId="0" fontId="2" fillId="0" borderId="0" xfId="0" applyFont="1"/>
    <xf numFmtId="0" fontId="4" fillId="0" borderId="0" xfId="0" applyFont="1" applyAlignment="1">
      <alignment horizontal="left" vertical="center"/>
    </xf>
    <xf numFmtId="165" fontId="2" fillId="0" borderId="2" xfId="0" applyNumberFormat="1" applyFont="1" applyBorder="1" applyAlignment="1">
      <alignment horizontal="right" vertical="center"/>
    </xf>
    <xf numFmtId="165" fontId="2" fillId="0" borderId="1" xfId="0" applyNumberFormat="1" applyFont="1" applyBorder="1" applyAlignment="1">
      <alignment horizontal="right" vertical="center"/>
    </xf>
    <xf numFmtId="0" fontId="2" fillId="0" borderId="0" xfId="0" applyFont="1" applyAlignment="1">
      <alignment horizontal="right"/>
    </xf>
    <xf numFmtId="0" fontId="2" fillId="2" borderId="0" xfId="0" applyFont="1" applyFill="1"/>
    <xf numFmtId="0" fontId="2" fillId="3" borderId="0" xfId="0" applyFont="1" applyFill="1"/>
    <xf numFmtId="165" fontId="2" fillId="0" borderId="1" xfId="1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44" fontId="2" fillId="0" borderId="0" xfId="2" applyFont="1" applyAlignment="1">
      <alignment horizontal="center"/>
    </xf>
    <xf numFmtId="0" fontId="0" fillId="0" borderId="0" xfId="0" applyProtection="1">
      <protection locked="0"/>
    </xf>
    <xf numFmtId="4" fontId="7" fillId="0" borderId="0" xfId="0" applyNumberFormat="1" applyFont="1" applyAlignment="1" applyProtection="1">
      <alignment horizontal="right"/>
      <protection locked="0"/>
    </xf>
    <xf numFmtId="49" fontId="2" fillId="0" borderId="0" xfId="1" applyNumberFormat="1" applyFont="1" applyAlignment="1">
      <alignment vertical="center"/>
    </xf>
    <xf numFmtId="17" fontId="3" fillId="3" borderId="0" xfId="0" applyNumberFormat="1" applyFont="1" applyFill="1" applyAlignment="1">
      <alignment horizontal="left" vertical="center"/>
    </xf>
    <xf numFmtId="4" fontId="0" fillId="0" borderId="0" xfId="0" applyNumberFormat="1" applyAlignment="1" applyProtection="1">
      <alignment horizontal="center"/>
      <protection locked="0"/>
    </xf>
    <xf numFmtId="165" fontId="2" fillId="0" borderId="0" xfId="0" applyNumberFormat="1" applyFont="1" applyAlignment="1">
      <alignment horizontal="right" vertical="center"/>
    </xf>
    <xf numFmtId="49" fontId="2" fillId="0" borderId="0" xfId="1" applyNumberFormat="1" applyFont="1" applyFill="1" applyAlignment="1">
      <alignment vertical="center"/>
    </xf>
    <xf numFmtId="49" fontId="2" fillId="0" borderId="0" xfId="1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7" xfId="0" applyBorder="1"/>
    <xf numFmtId="49" fontId="2" fillId="0" borderId="0" xfId="1" applyNumberFormat="1" applyFont="1" applyBorder="1" applyAlignment="1">
      <alignment vertical="center"/>
    </xf>
    <xf numFmtId="49" fontId="2" fillId="0" borderId="0" xfId="1" applyNumberFormat="1" applyFont="1" applyBorder="1" applyAlignment="1">
      <alignment horizontal="center" vertical="center"/>
    </xf>
    <xf numFmtId="165" fontId="2" fillId="0" borderId="12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horizontal="right" vertical="center"/>
    </xf>
    <xf numFmtId="165" fontId="2" fillId="0" borderId="6" xfId="0" applyNumberFormat="1" applyFont="1" applyBorder="1" applyAlignment="1">
      <alignment horizontal="right" vertical="center"/>
    </xf>
    <xf numFmtId="0" fontId="0" fillId="0" borderId="6" xfId="0" applyBorder="1"/>
    <xf numFmtId="0" fontId="0" fillId="0" borderId="14" xfId="0" applyBorder="1"/>
    <xf numFmtId="165" fontId="2" fillId="0" borderId="15" xfId="0" applyNumberFormat="1" applyFont="1" applyBorder="1" applyAlignment="1">
      <alignment horizontal="right" vertical="center"/>
    </xf>
    <xf numFmtId="165" fontId="2" fillId="0" borderId="16" xfId="0" applyNumberFormat="1" applyFont="1" applyBorder="1" applyAlignment="1">
      <alignment horizontal="right" vertical="center"/>
    </xf>
    <xf numFmtId="165" fontId="2" fillId="0" borderId="17" xfId="0" applyNumberFormat="1" applyFont="1" applyBorder="1" applyAlignment="1">
      <alignment horizontal="right" vertical="center"/>
    </xf>
    <xf numFmtId="165" fontId="2" fillId="0" borderId="12" xfId="1" applyNumberFormat="1" applyFont="1" applyFill="1" applyBorder="1" applyAlignment="1">
      <alignment horizontal="right" vertical="center"/>
    </xf>
    <xf numFmtId="165" fontId="2" fillId="0" borderId="18" xfId="0" applyNumberFormat="1" applyFont="1" applyBorder="1" applyAlignment="1">
      <alignment horizontal="right" vertical="center"/>
    </xf>
    <xf numFmtId="165" fontId="2" fillId="0" borderId="19" xfId="0" applyNumberFormat="1" applyFont="1" applyBorder="1" applyAlignment="1">
      <alignment horizontal="right" vertical="center"/>
    </xf>
    <xf numFmtId="17" fontId="3" fillId="3" borderId="9" xfId="0" applyNumberFormat="1" applyFont="1" applyFill="1" applyBorder="1" applyAlignment="1">
      <alignment horizontal="center" vertical="center"/>
    </xf>
    <xf numFmtId="17" fontId="3" fillId="3" borderId="10" xfId="0" applyNumberFormat="1" applyFont="1" applyFill="1" applyBorder="1" applyAlignment="1">
      <alignment horizontal="center" vertical="center"/>
    </xf>
    <xf numFmtId="17" fontId="3" fillId="2" borderId="10" xfId="0" applyNumberFormat="1" applyFont="1" applyFill="1" applyBorder="1" applyAlignment="1">
      <alignment horizontal="center" vertical="center"/>
    </xf>
    <xf numFmtId="17" fontId="3" fillId="3" borderId="11" xfId="0" applyNumberFormat="1" applyFont="1" applyFill="1" applyBorder="1" applyAlignment="1">
      <alignment horizontal="center" vertical="center"/>
    </xf>
    <xf numFmtId="165" fontId="0" fillId="0" borderId="8" xfId="0" applyNumberFormat="1" applyBorder="1"/>
    <xf numFmtId="44" fontId="0" fillId="0" borderId="0" xfId="2" applyFont="1"/>
    <xf numFmtId="0" fontId="0" fillId="0" borderId="0" xfId="0" applyAlignment="1">
      <alignment horizontal="right"/>
    </xf>
    <xf numFmtId="165" fontId="0" fillId="0" borderId="2" xfId="0" applyNumberFormat="1" applyBorder="1" applyAlignment="1">
      <alignment horizontal="right" vertical="center"/>
    </xf>
    <xf numFmtId="165" fontId="0" fillId="0" borderId="1" xfId="0" applyNumberFormat="1" applyBorder="1" applyAlignment="1">
      <alignment horizontal="right" vertical="center"/>
    </xf>
    <xf numFmtId="164" fontId="0" fillId="0" borderId="0" xfId="1" applyNumberFormat="1" applyFont="1" applyBorder="1" applyAlignment="1">
      <alignment vertical="center"/>
    </xf>
    <xf numFmtId="0" fontId="8" fillId="4" borderId="3" xfId="0" applyFont="1" applyFill="1" applyBorder="1" applyAlignment="1">
      <alignment vertical="center"/>
    </xf>
    <xf numFmtId="0" fontId="8" fillId="0" borderId="0" xfId="0" applyFont="1"/>
    <xf numFmtId="164" fontId="8" fillId="0" borderId="0" xfId="1" applyNumberFormat="1" applyFont="1" applyBorder="1" applyAlignment="1">
      <alignment vertical="center"/>
    </xf>
    <xf numFmtId="44" fontId="8" fillId="0" borderId="0" xfId="2" applyFont="1" applyBorder="1" applyAlignment="1">
      <alignment vertical="center"/>
    </xf>
    <xf numFmtId="0" fontId="0" fillId="0" borderId="0" xfId="0" applyAlignment="1">
      <alignment horizontal="left" vertical="center"/>
    </xf>
    <xf numFmtId="165" fontId="0" fillId="0" borderId="1" xfId="1" applyNumberFormat="1" applyFont="1" applyBorder="1" applyAlignment="1">
      <alignment horizontal="right" vertical="center"/>
    </xf>
    <xf numFmtId="44" fontId="0" fillId="0" borderId="0" xfId="2" applyFont="1" applyBorder="1" applyAlignment="1">
      <alignment vertical="center"/>
    </xf>
    <xf numFmtId="44" fontId="8" fillId="4" borderId="3" xfId="2" applyFont="1" applyFill="1" applyBorder="1" applyAlignment="1">
      <alignment vertical="center"/>
    </xf>
    <xf numFmtId="165" fontId="8" fillId="4" borderId="4" xfId="1" applyNumberFormat="1" applyFont="1" applyFill="1" applyBorder="1" applyAlignment="1">
      <alignment horizontal="right" vertical="center"/>
    </xf>
    <xf numFmtId="165" fontId="8" fillId="4" borderId="5" xfId="1" applyNumberFormat="1" applyFont="1" applyFill="1" applyBorder="1" applyAlignment="1">
      <alignment horizontal="right" vertical="center"/>
    </xf>
    <xf numFmtId="165" fontId="0" fillId="0" borderId="1" xfId="0" applyNumberFormat="1" applyBorder="1" applyAlignment="1">
      <alignment vertical="center"/>
    </xf>
    <xf numFmtId="165" fontId="0" fillId="0" borderId="2" xfId="0" applyNumberFormat="1" applyBorder="1" applyAlignment="1">
      <alignment vertical="center"/>
    </xf>
    <xf numFmtId="165" fontId="10" fillId="0" borderId="2" xfId="0" applyNumberFormat="1" applyFont="1" applyBorder="1" applyAlignment="1">
      <alignment vertical="center"/>
    </xf>
    <xf numFmtId="165" fontId="10" fillId="0" borderId="1" xfId="0" applyNumberFormat="1" applyFont="1" applyBorder="1" applyAlignment="1">
      <alignment vertical="center"/>
    </xf>
    <xf numFmtId="164" fontId="0" fillId="0" borderId="0" xfId="1" applyNumberFormat="1" applyFont="1" applyFill="1" applyBorder="1" applyAlignment="1">
      <alignment vertical="center"/>
    </xf>
    <xf numFmtId="44" fontId="0" fillId="0" borderId="0" xfId="2" applyFont="1" applyFill="1" applyBorder="1" applyAlignment="1">
      <alignment vertical="center"/>
    </xf>
    <xf numFmtId="165" fontId="0" fillId="0" borderId="1" xfId="1" applyNumberFormat="1" applyFont="1" applyFill="1" applyBorder="1" applyAlignment="1">
      <alignment vertical="center"/>
    </xf>
    <xf numFmtId="3" fontId="0" fillId="0" borderId="0" xfId="0" applyNumberFormat="1" applyAlignment="1">
      <alignment horizontal="right"/>
    </xf>
    <xf numFmtId="0" fontId="8" fillId="6" borderId="3" xfId="0" applyFont="1" applyFill="1" applyBorder="1" applyAlignment="1">
      <alignment vertical="center"/>
    </xf>
    <xf numFmtId="44" fontId="8" fillId="6" borderId="3" xfId="2" applyFont="1" applyFill="1" applyBorder="1" applyAlignment="1">
      <alignment vertical="center"/>
    </xf>
    <xf numFmtId="165" fontId="8" fillId="6" borderId="4" xfId="0" applyNumberFormat="1" applyFont="1" applyFill="1" applyBorder="1" applyAlignment="1">
      <alignment vertical="center"/>
    </xf>
    <xf numFmtId="164" fontId="8" fillId="7" borderId="20" xfId="1" applyNumberFormat="1" applyFont="1" applyFill="1" applyBorder="1" applyAlignment="1">
      <alignment vertical="center"/>
    </xf>
    <xf numFmtId="44" fontId="8" fillId="7" borderId="20" xfId="2" applyFont="1" applyFill="1" applyBorder="1" applyAlignment="1">
      <alignment vertical="center"/>
    </xf>
    <xf numFmtId="165" fontId="8" fillId="7" borderId="21" xfId="1" applyNumberFormat="1" applyFont="1" applyFill="1" applyBorder="1" applyAlignment="1">
      <alignment horizontal="right" vertical="center"/>
    </xf>
    <xf numFmtId="165" fontId="8" fillId="7" borderId="22" xfId="1" applyNumberFormat="1" applyFont="1" applyFill="1" applyBorder="1" applyAlignment="1">
      <alignment horizontal="right" vertical="center"/>
    </xf>
    <xf numFmtId="165" fontId="8" fillId="6" borderId="5" xfId="1" applyNumberFormat="1" applyFont="1" applyFill="1" applyBorder="1" applyAlignment="1">
      <alignment horizontal="right" vertical="center"/>
    </xf>
    <xf numFmtId="0" fontId="0" fillId="0" borderId="20" xfId="0" applyBorder="1" applyAlignment="1">
      <alignment horizontal="center" vertical="center"/>
    </xf>
    <xf numFmtId="49" fontId="0" fillId="0" borderId="0" xfId="1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9" fillId="0" borderId="0" xfId="0" applyFont="1" applyAlignment="1">
      <alignment horizontal="left" vertical="center"/>
    </xf>
    <xf numFmtId="49" fontId="0" fillId="0" borderId="0" xfId="1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64" fontId="0" fillId="0" borderId="0" xfId="1" applyNumberFormat="1" applyFont="1" applyFill="1" applyBorder="1" applyAlignment="1">
      <alignment vertical="center" wrapText="1"/>
    </xf>
    <xf numFmtId="0" fontId="0" fillId="0" borderId="0" xfId="0" applyAlignment="1">
      <alignment horizontal="left"/>
    </xf>
    <xf numFmtId="164" fontId="8" fillId="6" borderId="20" xfId="1" applyNumberFormat="1" applyFont="1" applyFill="1" applyBorder="1" applyAlignment="1">
      <alignment vertical="center"/>
    </xf>
    <xf numFmtId="164" fontId="8" fillId="5" borderId="3" xfId="0" applyNumberFormat="1" applyFont="1" applyFill="1" applyBorder="1" applyAlignment="1">
      <alignment vertical="center"/>
    </xf>
    <xf numFmtId="44" fontId="0" fillId="0" borderId="20" xfId="2" applyFont="1" applyBorder="1" applyAlignment="1">
      <alignment horizontal="center"/>
    </xf>
    <xf numFmtId="4" fontId="0" fillId="0" borderId="0" xfId="0" applyNumberFormat="1" applyAlignment="1" applyProtection="1">
      <alignment horizontal="right"/>
      <protection locked="0"/>
    </xf>
    <xf numFmtId="44" fontId="0" fillId="0" borderId="0" xfId="2" applyFont="1" applyBorder="1"/>
    <xf numFmtId="44" fontId="0" fillId="0" borderId="0" xfId="2" applyFont="1" applyFill="1" applyBorder="1"/>
    <xf numFmtId="44" fontId="10" fillId="0" borderId="0" xfId="2" applyFont="1" applyBorder="1" applyAlignment="1">
      <alignment horizontal="center" wrapText="1"/>
    </xf>
    <xf numFmtId="0" fontId="0" fillId="0" borderId="7" xfId="0" applyBorder="1" applyAlignment="1">
      <alignment horizontal="left" vertical="center"/>
    </xf>
    <xf numFmtId="44" fontId="8" fillId="6" borderId="20" xfId="2" applyFont="1" applyFill="1" applyBorder="1" applyAlignment="1">
      <alignment vertical="center"/>
    </xf>
    <xf numFmtId="165" fontId="0" fillId="6" borderId="24" xfId="0" applyNumberFormat="1" applyFill="1" applyBorder="1" applyAlignment="1">
      <alignment vertical="center"/>
    </xf>
    <xf numFmtId="165" fontId="0" fillId="6" borderId="25" xfId="0" applyNumberFormat="1" applyFill="1" applyBorder="1" applyAlignment="1">
      <alignment vertical="center"/>
    </xf>
    <xf numFmtId="165" fontId="8" fillId="6" borderId="26" xfId="0" applyNumberFormat="1" applyFont="1" applyFill="1" applyBorder="1" applyAlignment="1">
      <alignment vertical="center"/>
    </xf>
    <xf numFmtId="165" fontId="8" fillId="6" borderId="5" xfId="0" applyNumberFormat="1" applyFont="1" applyFill="1" applyBorder="1" applyAlignment="1">
      <alignment vertical="center"/>
    </xf>
    <xf numFmtId="0" fontId="0" fillId="0" borderId="27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65" fontId="8" fillId="6" borderId="24" xfId="1" applyNumberFormat="1" applyFont="1" applyFill="1" applyBorder="1" applyAlignment="1">
      <alignment horizontal="right" vertical="center"/>
    </xf>
    <xf numFmtId="165" fontId="8" fillId="6" borderId="25" xfId="1" applyNumberFormat="1" applyFont="1" applyFill="1" applyBorder="1" applyAlignment="1">
      <alignment horizontal="right" vertical="center"/>
    </xf>
    <xf numFmtId="165" fontId="8" fillId="5" borderId="24" xfId="0" applyNumberFormat="1" applyFont="1" applyFill="1" applyBorder="1" applyAlignment="1">
      <alignment vertical="center"/>
    </xf>
    <xf numFmtId="165" fontId="8" fillId="5" borderId="25" xfId="0" applyNumberFormat="1" applyFont="1" applyFill="1" applyBorder="1" applyAlignment="1">
      <alignment vertical="center"/>
    </xf>
    <xf numFmtId="0" fontId="0" fillId="0" borderId="27" xfId="0" applyBorder="1"/>
    <xf numFmtId="17" fontId="8" fillId="8" borderId="12" xfId="0" applyNumberFormat="1" applyFont="1" applyFill="1" applyBorder="1" applyAlignment="1">
      <alignment horizontal="center" vertical="center"/>
    </xf>
    <xf numFmtId="17" fontId="8" fillId="8" borderId="18" xfId="0" applyNumberFormat="1" applyFont="1" applyFill="1" applyBorder="1" applyAlignment="1">
      <alignment horizontal="center" vertical="center"/>
    </xf>
    <xf numFmtId="165" fontId="8" fillId="6" borderId="24" xfId="0" applyNumberFormat="1" applyFont="1" applyFill="1" applyBorder="1" applyAlignment="1">
      <alignment vertical="center"/>
    </xf>
    <xf numFmtId="165" fontId="8" fillId="6" borderId="25" xfId="0" applyNumberFormat="1" applyFont="1" applyFill="1" applyBorder="1" applyAlignment="1">
      <alignment vertical="center"/>
    </xf>
    <xf numFmtId="49" fontId="0" fillId="7" borderId="3" xfId="1" applyNumberFormat="1" applyFont="1" applyFill="1" applyBorder="1" applyAlignment="1">
      <alignment vertical="center"/>
    </xf>
    <xf numFmtId="165" fontId="0" fillId="7" borderId="3" xfId="0" applyNumberFormat="1" applyFill="1" applyBorder="1" applyAlignment="1" applyProtection="1">
      <alignment horizontal="right"/>
      <protection locked="0"/>
    </xf>
    <xf numFmtId="17" fontId="8" fillId="7" borderId="4" xfId="0" applyNumberFormat="1" applyFont="1" applyFill="1" applyBorder="1" applyAlignment="1">
      <alignment horizontal="right" vertical="center"/>
    </xf>
    <xf numFmtId="17" fontId="8" fillId="7" borderId="5" xfId="0" applyNumberFormat="1" applyFont="1" applyFill="1" applyBorder="1" applyAlignment="1">
      <alignment horizontal="right" vertical="center"/>
    </xf>
    <xf numFmtId="165" fontId="8" fillId="7" borderId="4" xfId="0" applyNumberFormat="1" applyFont="1" applyFill="1" applyBorder="1" applyAlignment="1">
      <alignment horizontal="right" vertical="center"/>
    </xf>
    <xf numFmtId="165" fontId="8" fillId="7" borderId="5" xfId="0" applyNumberFormat="1" applyFont="1" applyFill="1" applyBorder="1" applyAlignment="1">
      <alignment horizontal="right" vertical="center"/>
    </xf>
    <xf numFmtId="0" fontId="0" fillId="7" borderId="3" xfId="0" applyFill="1" applyBorder="1" applyAlignment="1">
      <alignment vertical="center"/>
    </xf>
    <xf numFmtId="44" fontId="8" fillId="7" borderId="3" xfId="2" applyFont="1" applyFill="1" applyBorder="1" applyAlignment="1">
      <alignment horizontal="right" vertical="center"/>
    </xf>
    <xf numFmtId="44" fontId="8" fillId="7" borderId="29" xfId="2" applyFont="1" applyFill="1" applyBorder="1" applyAlignment="1">
      <alignment horizontal="right" vertical="center"/>
    </xf>
    <xf numFmtId="49" fontId="0" fillId="0" borderId="7" xfId="1" applyNumberFormat="1" applyFont="1" applyBorder="1" applyAlignment="1">
      <alignment vertical="center"/>
    </xf>
    <xf numFmtId="4" fontId="0" fillId="0" borderId="7" xfId="0" applyNumberFormat="1" applyBorder="1" applyAlignment="1" applyProtection="1">
      <alignment horizontal="center"/>
      <protection locked="0"/>
    </xf>
    <xf numFmtId="165" fontId="0" fillId="0" borderId="31" xfId="0" applyNumberFormat="1" applyBorder="1" applyAlignment="1">
      <alignment horizontal="right" vertical="center"/>
    </xf>
    <xf numFmtId="165" fontId="0" fillId="0" borderId="30" xfId="0" applyNumberFormat="1" applyBorder="1" applyAlignment="1">
      <alignment horizontal="right" vertical="center"/>
    </xf>
    <xf numFmtId="0" fontId="0" fillId="0" borderId="32" xfId="0" applyBorder="1"/>
    <xf numFmtId="0" fontId="8" fillId="7" borderId="3" xfId="0" applyFont="1" applyFill="1" applyBorder="1" applyAlignment="1">
      <alignment vertical="center"/>
    </xf>
    <xf numFmtId="44" fontId="8" fillId="7" borderId="3" xfId="2" applyFont="1" applyFill="1" applyBorder="1" applyAlignment="1">
      <alignment vertical="center"/>
    </xf>
    <xf numFmtId="0" fontId="0" fillId="0" borderId="32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6" borderId="3" xfId="0" applyFill="1" applyBorder="1" applyAlignment="1">
      <alignment vertical="center"/>
    </xf>
    <xf numFmtId="44" fontId="0" fillId="6" borderId="3" xfId="2" applyFont="1" applyFill="1" applyBorder="1" applyAlignment="1">
      <alignment vertical="center"/>
    </xf>
    <xf numFmtId="165" fontId="0" fillId="6" borderId="4" xfId="0" applyNumberFormat="1" applyFill="1" applyBorder="1" applyAlignment="1">
      <alignment vertical="center"/>
    </xf>
    <xf numFmtId="165" fontId="0" fillId="6" borderId="5" xfId="0" applyNumberFormat="1" applyFill="1" applyBorder="1" applyAlignment="1">
      <alignment vertical="center"/>
    </xf>
    <xf numFmtId="44" fontId="0" fillId="0" borderId="7" xfId="2" applyFont="1" applyBorder="1"/>
    <xf numFmtId="165" fontId="0" fillId="0" borderId="30" xfId="1" applyNumberFormat="1" applyFont="1" applyFill="1" applyBorder="1" applyAlignment="1">
      <alignment vertical="center"/>
    </xf>
    <xf numFmtId="165" fontId="0" fillId="0" borderId="31" xfId="0" applyNumberFormat="1" applyBorder="1" applyAlignment="1">
      <alignment vertical="center"/>
    </xf>
    <xf numFmtId="164" fontId="0" fillId="6" borderId="20" xfId="1" applyNumberFormat="1" applyFont="1" applyFill="1" applyBorder="1" applyAlignment="1">
      <alignment vertical="center"/>
    </xf>
    <xf numFmtId="44" fontId="0" fillId="6" borderId="20" xfId="2" applyFont="1" applyFill="1" applyBorder="1" applyAlignment="1">
      <alignment vertical="center"/>
    </xf>
    <xf numFmtId="165" fontId="0" fillId="6" borderId="23" xfId="0" applyNumberFormat="1" applyFill="1" applyBorder="1" applyAlignment="1">
      <alignment vertical="center"/>
    </xf>
    <xf numFmtId="165" fontId="0" fillId="6" borderId="22" xfId="0" applyNumberFormat="1" applyFill="1" applyBorder="1" applyAlignment="1">
      <alignment vertical="center"/>
    </xf>
    <xf numFmtId="0" fontId="0" fillId="0" borderId="7" xfId="0" applyBorder="1" applyAlignment="1">
      <alignment horizontal="left"/>
    </xf>
    <xf numFmtId="44" fontId="0" fillId="0" borderId="7" xfId="2" applyFont="1" applyFill="1" applyBorder="1" applyAlignment="1">
      <alignment vertical="center"/>
    </xf>
    <xf numFmtId="165" fontId="0" fillId="0" borderId="30" xfId="0" applyNumberFormat="1" applyBorder="1" applyAlignment="1">
      <alignment vertical="center"/>
    </xf>
    <xf numFmtId="164" fontId="0" fillId="0" borderId="7" xfId="1" applyNumberFormat="1" applyFont="1" applyFill="1" applyBorder="1" applyAlignment="1">
      <alignment vertical="center"/>
    </xf>
    <xf numFmtId="164" fontId="8" fillId="6" borderId="3" xfId="1" applyNumberFormat="1" applyFont="1" applyFill="1" applyBorder="1" applyAlignment="1">
      <alignment vertical="center"/>
    </xf>
    <xf numFmtId="4" fontId="7" fillId="7" borderId="3" xfId="0" applyNumberFormat="1" applyFont="1" applyFill="1" applyBorder="1" applyAlignment="1" applyProtection="1">
      <alignment horizontal="right"/>
      <protection locked="0"/>
    </xf>
    <xf numFmtId="165" fontId="0" fillId="7" borderId="5" xfId="0" applyNumberFormat="1" applyFill="1" applyBorder="1" applyAlignment="1">
      <alignment horizontal="right" vertical="center"/>
    </xf>
    <xf numFmtId="165" fontId="0" fillId="7" borderId="4" xfId="0" applyNumberFormat="1" applyFill="1" applyBorder="1" applyAlignment="1">
      <alignment horizontal="right" vertical="center"/>
    </xf>
    <xf numFmtId="0" fontId="8" fillId="7" borderId="3" xfId="0" applyFont="1" applyFill="1" applyBorder="1" applyAlignment="1">
      <alignment horizontal="left" vertical="center"/>
    </xf>
    <xf numFmtId="0" fontId="8" fillId="7" borderId="3" xfId="0" applyFont="1" applyFill="1" applyBorder="1" applyAlignment="1">
      <alignment horizontal="center" vertical="center"/>
    </xf>
    <xf numFmtId="164" fontId="0" fillId="7" borderId="3" xfId="1" applyNumberFormat="1" applyFont="1" applyFill="1" applyBorder="1" applyAlignment="1">
      <alignment vertical="center"/>
    </xf>
    <xf numFmtId="44" fontId="0" fillId="7" borderId="3" xfId="2" applyFont="1" applyFill="1" applyBorder="1" applyAlignment="1">
      <alignment vertical="center"/>
    </xf>
    <xf numFmtId="0" fontId="0" fillId="0" borderId="21" xfId="0" applyBorder="1" applyAlignment="1">
      <alignment horizontal="center"/>
    </xf>
    <xf numFmtId="0" fontId="8" fillId="7" borderId="28" xfId="0" applyFont="1" applyFill="1" applyBorder="1" applyAlignment="1">
      <alignment horizontal="left" vertical="center"/>
    </xf>
    <xf numFmtId="0" fontId="0" fillId="0" borderId="27" xfId="0" applyBorder="1" applyProtection="1">
      <protection locked="0"/>
    </xf>
    <xf numFmtId="0" fontId="0" fillId="0" borderId="32" xfId="0" applyBorder="1" applyProtection="1">
      <protection locked="0"/>
    </xf>
    <xf numFmtId="0" fontId="8" fillId="0" borderId="27" xfId="0" applyFont="1" applyBorder="1" applyAlignment="1">
      <alignment horizontal="left" vertical="center"/>
    </xf>
    <xf numFmtId="0" fontId="8" fillId="4" borderId="28" xfId="0" applyFont="1" applyFill="1" applyBorder="1" applyAlignment="1">
      <alignment horizontal="left" vertical="center"/>
    </xf>
    <xf numFmtId="0" fontId="8" fillId="7" borderId="21" xfId="0" applyFont="1" applyFill="1" applyBorder="1" applyAlignment="1">
      <alignment horizontal="left" vertical="center"/>
    </xf>
    <xf numFmtId="0" fontId="8" fillId="6" borderId="28" xfId="0" applyFont="1" applyFill="1" applyBorder="1" applyAlignment="1">
      <alignment horizontal="left" vertical="center"/>
    </xf>
    <xf numFmtId="0" fontId="8" fillId="6" borderId="21" xfId="0" applyFont="1" applyFill="1" applyBorder="1" applyAlignment="1">
      <alignment horizontal="left" vertical="center"/>
    </xf>
    <xf numFmtId="0" fontId="8" fillId="6" borderId="25" xfId="0" applyFont="1" applyFill="1" applyBorder="1" applyAlignment="1">
      <alignment horizontal="left" vertical="center"/>
    </xf>
    <xf numFmtId="0" fontId="11" fillId="0" borderId="27" xfId="0" applyFont="1" applyBorder="1" applyAlignment="1">
      <alignment horizontal="left" vertical="center"/>
    </xf>
    <xf numFmtId="0" fontId="8" fillId="5" borderId="28" xfId="0" applyFont="1" applyFill="1" applyBorder="1" applyAlignment="1">
      <alignment vertical="center"/>
    </xf>
    <xf numFmtId="165" fontId="0" fillId="0" borderId="6" xfId="0" applyNumberFormat="1" applyBorder="1" applyAlignment="1">
      <alignment vertical="center"/>
    </xf>
    <xf numFmtId="165" fontId="0" fillId="0" borderId="36" xfId="1" applyNumberFormat="1" applyFont="1" applyFill="1" applyBorder="1" applyAlignment="1">
      <alignment vertical="center"/>
    </xf>
    <xf numFmtId="165" fontId="0" fillId="0" borderId="37" xfId="1" applyNumberFormat="1" applyFont="1" applyFill="1" applyBorder="1" applyAlignment="1">
      <alignment vertical="center"/>
    </xf>
    <xf numFmtId="0" fontId="0" fillId="0" borderId="37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165" fontId="0" fillId="0" borderId="39" xfId="0" applyNumberFormat="1" applyBorder="1" applyAlignment="1">
      <alignment vertical="center"/>
    </xf>
    <xf numFmtId="165" fontId="0" fillId="0" borderId="40" xfId="0" applyNumberFormat="1" applyBorder="1" applyAlignment="1">
      <alignment vertical="center"/>
    </xf>
    <xf numFmtId="0" fontId="0" fillId="0" borderId="40" xfId="0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8" fillId="6" borderId="3" xfId="0" applyFont="1" applyFill="1" applyBorder="1" applyAlignment="1">
      <alignment horizontal="left" vertical="center"/>
    </xf>
    <xf numFmtId="44" fontId="8" fillId="7" borderId="5" xfId="2" applyFont="1" applyFill="1" applyBorder="1" applyAlignment="1">
      <alignment horizontal="right" vertical="center"/>
    </xf>
    <xf numFmtId="165" fontId="0" fillId="0" borderId="6" xfId="0" applyNumberFormat="1" applyBorder="1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165" fontId="0" fillId="7" borderId="42" xfId="0" applyNumberFormat="1" applyFill="1" applyBorder="1" applyAlignment="1">
      <alignment horizontal="right" vertical="center"/>
    </xf>
    <xf numFmtId="17" fontId="8" fillId="8" borderId="15" xfId="0" applyNumberFormat="1" applyFont="1" applyFill="1" applyBorder="1" applyAlignment="1">
      <alignment horizontal="center" vertical="center"/>
    </xf>
    <xf numFmtId="17" fontId="8" fillId="7" borderId="42" xfId="0" applyNumberFormat="1" applyFont="1" applyFill="1" applyBorder="1" applyAlignment="1">
      <alignment horizontal="right" vertical="center"/>
    </xf>
    <xf numFmtId="165" fontId="0" fillId="0" borderId="16" xfId="0" applyNumberFormat="1" applyBorder="1" applyAlignment="1">
      <alignment horizontal="right" vertical="center"/>
    </xf>
    <xf numFmtId="165" fontId="0" fillId="0" borderId="43" xfId="0" applyNumberFormat="1" applyBorder="1" applyAlignment="1">
      <alignment horizontal="right" vertical="center"/>
    </xf>
    <xf numFmtId="165" fontId="8" fillId="7" borderId="42" xfId="0" applyNumberFormat="1" applyFont="1" applyFill="1" applyBorder="1" applyAlignment="1">
      <alignment horizontal="right" vertical="center"/>
    </xf>
    <xf numFmtId="165" fontId="0" fillId="0" borderId="16" xfId="1" applyNumberFormat="1" applyFont="1" applyBorder="1" applyAlignment="1">
      <alignment horizontal="right" vertical="center"/>
    </xf>
    <xf numFmtId="165" fontId="8" fillId="4" borderId="42" xfId="1" applyNumberFormat="1" applyFont="1" applyFill="1" applyBorder="1" applyAlignment="1">
      <alignment horizontal="right" vertical="center"/>
    </xf>
    <xf numFmtId="165" fontId="8" fillId="7" borderId="20" xfId="1" applyNumberFormat="1" applyFont="1" applyFill="1" applyBorder="1" applyAlignment="1">
      <alignment horizontal="right" vertical="center"/>
    </xf>
    <xf numFmtId="165" fontId="0" fillId="6" borderId="44" xfId="0" applyNumberFormat="1" applyFill="1" applyBorder="1" applyAlignment="1">
      <alignment vertical="center"/>
    </xf>
    <xf numFmtId="165" fontId="0" fillId="0" borderId="16" xfId="0" applyNumberFormat="1" applyBorder="1" applyAlignment="1">
      <alignment vertical="center"/>
    </xf>
    <xf numFmtId="165" fontId="8" fillId="6" borderId="42" xfId="0" applyNumberFormat="1" applyFont="1" applyFill="1" applyBorder="1" applyAlignment="1">
      <alignment vertical="center"/>
    </xf>
    <xf numFmtId="165" fontId="0" fillId="6" borderId="45" xfId="0" applyNumberFormat="1" applyFill="1" applyBorder="1" applyAlignment="1">
      <alignment vertical="center"/>
    </xf>
    <xf numFmtId="165" fontId="0" fillId="0" borderId="43" xfId="0" applyNumberFormat="1" applyBorder="1" applyAlignment="1">
      <alignment vertical="center"/>
    </xf>
    <xf numFmtId="165" fontId="0" fillId="6" borderId="42" xfId="0" applyNumberFormat="1" applyFill="1" applyBorder="1" applyAlignment="1">
      <alignment vertical="center"/>
    </xf>
    <xf numFmtId="165" fontId="0" fillId="0" borderId="43" xfId="1" applyNumberFormat="1" applyFont="1" applyFill="1" applyBorder="1" applyAlignment="1">
      <alignment vertical="center"/>
    </xf>
    <xf numFmtId="165" fontId="0" fillId="0" borderId="16" xfId="1" applyNumberFormat="1" applyFont="1" applyFill="1" applyBorder="1" applyAlignment="1">
      <alignment vertical="center"/>
    </xf>
    <xf numFmtId="0" fontId="0" fillId="0" borderId="46" xfId="0" applyBorder="1" applyAlignment="1">
      <alignment horizontal="left" vertical="center"/>
    </xf>
    <xf numFmtId="0" fontId="0" fillId="0" borderId="47" xfId="0" applyBorder="1" applyAlignment="1">
      <alignment horizontal="left" vertical="center"/>
    </xf>
    <xf numFmtId="165" fontId="8" fillId="6" borderId="44" xfId="0" applyNumberFormat="1" applyFont="1" applyFill="1" applyBorder="1" applyAlignment="1">
      <alignment vertical="center"/>
    </xf>
    <xf numFmtId="165" fontId="8" fillId="6" borderId="44" xfId="1" applyNumberFormat="1" applyFont="1" applyFill="1" applyBorder="1" applyAlignment="1">
      <alignment horizontal="right" vertical="center"/>
    </xf>
    <xf numFmtId="165" fontId="8" fillId="5" borderId="44" xfId="0" applyNumberFormat="1" applyFont="1" applyFill="1" applyBorder="1" applyAlignment="1">
      <alignment vertical="center"/>
    </xf>
    <xf numFmtId="165" fontId="13" fillId="0" borderId="16" xfId="0" applyNumberFormat="1" applyFont="1" applyBorder="1" applyAlignment="1">
      <alignment horizontal="right" vertical="center"/>
    </xf>
    <xf numFmtId="165" fontId="0" fillId="7" borderId="25" xfId="0" applyNumberFormat="1" applyFill="1" applyBorder="1" applyAlignment="1">
      <alignment horizontal="right" vertical="center"/>
    </xf>
    <xf numFmtId="165" fontId="0" fillId="0" borderId="6" xfId="1" applyNumberFormat="1" applyFont="1" applyFill="1" applyBorder="1" applyAlignment="1">
      <alignment horizontal="right" vertical="center"/>
    </xf>
    <xf numFmtId="165" fontId="2" fillId="9" borderId="16" xfId="0" applyNumberFormat="1" applyFont="1" applyFill="1" applyBorder="1" applyAlignment="1">
      <alignment horizontal="right" vertical="center"/>
    </xf>
    <xf numFmtId="0" fontId="0" fillId="0" borderId="19" xfId="0" applyBorder="1" applyAlignment="1">
      <alignment horizontal="center"/>
    </xf>
    <xf numFmtId="17" fontId="8" fillId="8" borderId="13" xfId="0" applyNumberFormat="1" applyFont="1" applyFill="1" applyBorder="1" applyAlignment="1">
      <alignment horizontal="center" vertical="center"/>
    </xf>
    <xf numFmtId="17" fontId="8" fillId="7" borderId="29" xfId="0" applyNumberFormat="1" applyFont="1" applyFill="1" applyBorder="1" applyAlignment="1">
      <alignment horizontal="right" vertical="center"/>
    </xf>
    <xf numFmtId="165" fontId="0" fillId="7" borderId="29" xfId="0" applyNumberFormat="1" applyFill="1" applyBorder="1" applyAlignment="1">
      <alignment horizontal="right" vertical="center"/>
    </xf>
    <xf numFmtId="165" fontId="0" fillId="0" borderId="33" xfId="0" applyNumberFormat="1" applyBorder="1" applyAlignment="1">
      <alignment horizontal="right" vertical="center"/>
    </xf>
    <xf numFmtId="165" fontId="0" fillId="6" borderId="29" xfId="0" applyNumberFormat="1" applyFill="1" applyBorder="1" applyAlignment="1">
      <alignment vertical="center"/>
    </xf>
    <xf numFmtId="165" fontId="8" fillId="6" borderId="29" xfId="0" applyNumberFormat="1" applyFont="1" applyFill="1" applyBorder="1" applyAlignment="1">
      <alignment vertical="center"/>
    </xf>
    <xf numFmtId="165" fontId="0" fillId="6" borderId="48" xfId="0" applyNumberFormat="1" applyFill="1" applyBorder="1" applyAlignment="1">
      <alignment vertical="center"/>
    </xf>
    <xf numFmtId="165" fontId="0" fillId="0" borderId="33" xfId="0" applyNumberFormat="1" applyBorder="1" applyAlignment="1">
      <alignment vertical="center"/>
    </xf>
    <xf numFmtId="0" fontId="8" fillId="6" borderId="29" xfId="0" applyFont="1" applyFill="1" applyBorder="1" applyAlignment="1">
      <alignment horizontal="left" vertical="center"/>
    </xf>
    <xf numFmtId="165" fontId="0" fillId="0" borderId="48" xfId="1" applyNumberFormat="1" applyFont="1" applyFill="1" applyBorder="1" applyAlignment="1">
      <alignment vertical="center"/>
    </xf>
    <xf numFmtId="165" fontId="0" fillId="0" borderId="6" xfId="1" applyNumberFormat="1" applyFont="1" applyFill="1" applyBorder="1" applyAlignment="1">
      <alignment vertical="center"/>
    </xf>
    <xf numFmtId="17" fontId="8" fillId="8" borderId="49" xfId="0" applyNumberFormat="1" applyFont="1" applyFill="1" applyBorder="1" applyAlignment="1">
      <alignment horizontal="center" vertical="center"/>
    </xf>
    <xf numFmtId="165" fontId="0" fillId="7" borderId="26" xfId="0" applyNumberFormat="1" applyFill="1" applyBorder="1" applyAlignment="1" applyProtection="1">
      <alignment horizontal="right"/>
      <protection locked="0"/>
    </xf>
    <xf numFmtId="44" fontId="8" fillId="7" borderId="26" xfId="2" applyFont="1" applyFill="1" applyBorder="1" applyAlignment="1">
      <alignment horizontal="right" vertical="center"/>
    </xf>
    <xf numFmtId="44" fontId="0" fillId="7" borderId="26" xfId="2" applyFont="1" applyFill="1" applyBorder="1" applyAlignment="1">
      <alignment vertical="center"/>
    </xf>
    <xf numFmtId="4" fontId="0" fillId="0" borderId="50" xfId="0" applyNumberFormat="1" applyBorder="1" applyAlignment="1" applyProtection="1">
      <alignment horizontal="right"/>
      <protection locked="0"/>
    </xf>
    <xf numFmtId="4" fontId="7" fillId="0" borderId="50" xfId="0" applyNumberFormat="1" applyFont="1" applyBorder="1" applyAlignment="1" applyProtection="1">
      <alignment horizontal="right"/>
      <protection locked="0"/>
    </xf>
    <xf numFmtId="4" fontId="0" fillId="0" borderId="50" xfId="0" applyNumberFormat="1" applyBorder="1" applyAlignment="1" applyProtection="1">
      <alignment horizontal="center"/>
      <protection locked="0"/>
    </xf>
    <xf numFmtId="4" fontId="0" fillId="0" borderId="51" xfId="0" applyNumberFormat="1" applyBorder="1" applyAlignment="1" applyProtection="1">
      <alignment horizontal="center"/>
      <protection locked="0"/>
    </xf>
    <xf numFmtId="0" fontId="8" fillId="7" borderId="26" xfId="0" applyFont="1" applyFill="1" applyBorder="1" applyAlignment="1">
      <alignment horizontal="left" vertical="center"/>
    </xf>
    <xf numFmtId="4" fontId="7" fillId="7" borderId="26" xfId="0" applyNumberFormat="1" applyFont="1" applyFill="1" applyBorder="1" applyAlignment="1" applyProtection="1">
      <alignment horizontal="right"/>
      <protection locked="0"/>
    </xf>
    <xf numFmtId="49" fontId="0" fillId="0" borderId="50" xfId="1" applyNumberFormat="1" applyFont="1" applyBorder="1" applyAlignment="1">
      <alignment vertical="center"/>
    </xf>
    <xf numFmtId="44" fontId="8" fillId="10" borderId="26" xfId="2" applyFont="1" applyFill="1" applyBorder="1" applyAlignment="1">
      <alignment vertical="center"/>
    </xf>
    <xf numFmtId="44" fontId="8" fillId="0" borderId="50" xfId="2" applyFont="1" applyBorder="1" applyAlignment="1">
      <alignment vertical="center"/>
    </xf>
    <xf numFmtId="44" fontId="0" fillId="0" borderId="50" xfId="2" applyFont="1" applyBorder="1" applyAlignment="1">
      <alignment vertical="center"/>
    </xf>
    <xf numFmtId="44" fontId="8" fillId="10" borderId="52" xfId="2" applyFont="1" applyFill="1" applyBorder="1" applyAlignment="1">
      <alignment vertical="center"/>
    </xf>
    <xf numFmtId="0" fontId="8" fillId="6" borderId="26" xfId="0" applyFont="1" applyFill="1" applyBorder="1" applyAlignment="1">
      <alignment horizontal="left" vertical="center"/>
    </xf>
    <xf numFmtId="44" fontId="0" fillId="0" borderId="50" xfId="2" applyFont="1" applyFill="1" applyBorder="1" applyAlignment="1">
      <alignment vertical="center"/>
    </xf>
    <xf numFmtId="44" fontId="0" fillId="0" borderId="50" xfId="2" applyFont="1" applyBorder="1"/>
    <xf numFmtId="44" fontId="0" fillId="6" borderId="52" xfId="2" applyFont="1" applyFill="1" applyBorder="1" applyAlignment="1">
      <alignment vertical="center"/>
    </xf>
    <xf numFmtId="44" fontId="0" fillId="0" borderId="51" xfId="2" applyFont="1" applyFill="1" applyBorder="1" applyAlignment="1">
      <alignment vertical="center"/>
    </xf>
    <xf numFmtId="44" fontId="0" fillId="6" borderId="26" xfId="2" applyFont="1" applyFill="1" applyBorder="1" applyAlignment="1">
      <alignment vertical="center"/>
    </xf>
    <xf numFmtId="165" fontId="0" fillId="0" borderId="50" xfId="0" applyNumberFormat="1" applyBorder="1" applyAlignment="1">
      <alignment vertical="center"/>
    </xf>
    <xf numFmtId="44" fontId="0" fillId="0" borderId="50" xfId="2" applyFont="1" applyFill="1" applyBorder="1"/>
    <xf numFmtId="44" fontId="0" fillId="0" borderId="51" xfId="2" applyFont="1" applyBorder="1"/>
    <xf numFmtId="164" fontId="8" fillId="6" borderId="26" xfId="1" applyNumberFormat="1" applyFont="1" applyFill="1" applyBorder="1" applyAlignment="1">
      <alignment vertical="center"/>
    </xf>
    <xf numFmtId="165" fontId="0" fillId="0" borderId="50" xfId="1" applyNumberFormat="1" applyFont="1" applyFill="1" applyBorder="1" applyAlignment="1">
      <alignment vertical="center"/>
    </xf>
    <xf numFmtId="164" fontId="0" fillId="0" borderId="51" xfId="1" applyNumberFormat="1" applyFont="1" applyFill="1" applyBorder="1" applyAlignment="1">
      <alignment vertical="center"/>
    </xf>
    <xf numFmtId="165" fontId="8" fillId="10" borderId="26" xfId="0" applyNumberFormat="1" applyFont="1" applyFill="1" applyBorder="1" applyAlignment="1">
      <alignment vertical="center"/>
    </xf>
    <xf numFmtId="44" fontId="10" fillId="0" borderId="50" xfId="2" applyFont="1" applyBorder="1" applyAlignment="1">
      <alignment horizontal="center" wrapText="1"/>
    </xf>
    <xf numFmtId="0" fontId="0" fillId="0" borderId="50" xfId="0" applyBorder="1" applyAlignment="1">
      <alignment horizontal="left" vertical="center"/>
    </xf>
    <xf numFmtId="164" fontId="8" fillId="10" borderId="26" xfId="0" applyNumberFormat="1" applyFont="1" applyFill="1" applyBorder="1" applyAlignment="1">
      <alignment vertical="center"/>
    </xf>
    <xf numFmtId="165" fontId="8" fillId="10" borderId="52" xfId="2" applyNumberFormat="1" applyFont="1" applyFill="1" applyBorder="1" applyAlignment="1">
      <alignment vertical="center"/>
    </xf>
    <xf numFmtId="44" fontId="1" fillId="0" borderId="50" xfId="2" applyFont="1" applyBorder="1" applyAlignment="1">
      <alignment horizontal="center" wrapText="1"/>
    </xf>
    <xf numFmtId="165" fontId="8" fillId="10" borderId="29" xfId="1" applyNumberFormat="1" applyFont="1" applyFill="1" applyBorder="1" applyAlignment="1">
      <alignment horizontal="right" vertical="center"/>
    </xf>
    <xf numFmtId="165" fontId="8" fillId="10" borderId="29" xfId="0" applyNumberFormat="1" applyFont="1" applyFill="1" applyBorder="1" applyAlignment="1">
      <alignment vertical="center"/>
    </xf>
    <xf numFmtId="165" fontId="8" fillId="10" borderId="48" xfId="1" applyNumberFormat="1" applyFont="1" applyFill="1" applyBorder="1" applyAlignment="1">
      <alignment horizontal="right" vertical="center"/>
    </xf>
    <xf numFmtId="165" fontId="8" fillId="10" borderId="29" xfId="0" applyNumberFormat="1" applyFont="1" applyFill="1" applyBorder="1" applyAlignment="1">
      <alignment horizontal="right" vertical="center"/>
    </xf>
    <xf numFmtId="165" fontId="8" fillId="10" borderId="5" xfId="0" applyNumberFormat="1" applyFont="1" applyFill="1" applyBorder="1" applyAlignment="1">
      <alignment horizontal="right" vertical="center"/>
    </xf>
    <xf numFmtId="165" fontId="8" fillId="10" borderId="5" xfId="1" applyNumberFormat="1" applyFont="1" applyFill="1" applyBorder="1" applyAlignment="1">
      <alignment horizontal="right" vertical="center"/>
    </xf>
    <xf numFmtId="165" fontId="8" fillId="10" borderId="22" xfId="1" applyNumberFormat="1" applyFont="1" applyFill="1" applyBorder="1" applyAlignment="1">
      <alignment horizontal="right" vertical="center"/>
    </xf>
    <xf numFmtId="165" fontId="8" fillId="10" borderId="25" xfId="0" applyNumberFormat="1" applyFont="1" applyFill="1" applyBorder="1" applyAlignment="1">
      <alignment vertical="center"/>
    </xf>
    <xf numFmtId="165" fontId="8" fillId="10" borderId="25" xfId="1" applyNumberFormat="1" applyFont="1" applyFill="1" applyBorder="1" applyAlignment="1">
      <alignment horizontal="right" vertical="center"/>
    </xf>
    <xf numFmtId="165" fontId="8" fillId="10" borderId="5" xfId="0" applyNumberFormat="1" applyFont="1" applyFill="1" applyBorder="1" applyAlignment="1">
      <alignment vertical="center"/>
    </xf>
    <xf numFmtId="0" fontId="0" fillId="0" borderId="0" xfId="0" applyAlignment="1">
      <alignment wrapText="1"/>
    </xf>
    <xf numFmtId="49" fontId="13" fillId="0" borderId="0" xfId="1" applyNumberFormat="1" applyFont="1" applyAlignment="1">
      <alignment vertical="center"/>
    </xf>
    <xf numFmtId="0" fontId="8" fillId="6" borderId="28" xfId="0" applyFont="1" applyFill="1" applyBorder="1" applyAlignment="1">
      <alignment horizontal="left" vertical="center"/>
    </xf>
    <xf numFmtId="0" fontId="8" fillId="6" borderId="3" xfId="0" applyFont="1" applyFill="1" applyBorder="1" applyAlignment="1">
      <alignment horizontal="left" vertical="center"/>
    </xf>
    <xf numFmtId="0" fontId="12" fillId="0" borderId="10" xfId="0" applyFont="1" applyBorder="1" applyAlignment="1">
      <alignment horizontal="left"/>
    </xf>
    <xf numFmtId="0" fontId="12" fillId="0" borderId="11" xfId="0" applyFont="1" applyBorder="1" applyAlignment="1">
      <alignment horizontal="left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right"/>
    </xf>
  </cellXfs>
  <cellStyles count="4">
    <cellStyle name="Komma" xfId="1" builtinId="3"/>
    <cellStyle name="Standard" xfId="0" builtinId="0"/>
    <cellStyle name="Währung" xfId="2" builtinId="4"/>
    <cellStyle name="Währung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95"/>
  <sheetViews>
    <sheetView tabSelected="1" zoomScale="90" zoomScaleNormal="90" workbookViewId="0">
      <pane xSplit="4" ySplit="2" topLeftCell="E168" activePane="bottomRight" state="frozen"/>
      <selection pane="topRight" activeCell="E1" sqref="E1"/>
      <selection pane="bottomLeft" activeCell="A2" sqref="A2"/>
      <selection pane="bottomRight" activeCell="I13" sqref="I13"/>
    </sheetView>
  </sheetViews>
  <sheetFormatPr baseColWidth="10" defaultColWidth="11.453125" defaultRowHeight="14.5" outlineLevelRow="1" x14ac:dyDescent="0.35"/>
  <cols>
    <col min="1" max="1" width="40.1796875" customWidth="1"/>
    <col min="2" max="2" width="38.54296875" customWidth="1"/>
    <col min="3" max="3" width="16.7265625" customWidth="1"/>
    <col min="4" max="5" width="14.7265625" style="42" customWidth="1"/>
    <col min="6" max="7" width="13.81640625" style="43" bestFit="1" customWidth="1"/>
    <col min="8" max="10" width="13.1796875" style="43" bestFit="1" customWidth="1"/>
    <col min="11" max="11" width="13.1796875" style="43" customWidth="1"/>
    <col min="12" max="13" width="13.1796875" style="43" bestFit="1" customWidth="1"/>
    <col min="14" max="14" width="16.453125" style="43" bestFit="1" customWidth="1"/>
    <col min="15" max="15" width="15.453125" style="43" bestFit="1" customWidth="1"/>
    <col min="16" max="16" width="13.81640625" style="43" bestFit="1" customWidth="1"/>
    <col min="17" max="17" width="12.81640625" style="43" bestFit="1" customWidth="1"/>
    <col min="18" max="18" width="15.81640625" style="43" bestFit="1" customWidth="1"/>
    <col min="19" max="19" width="15" style="43" bestFit="1" customWidth="1"/>
    <col min="20" max="20" width="15.54296875" style="43" bestFit="1" customWidth="1"/>
    <col min="21" max="21" width="14.7265625" style="43" bestFit="1" customWidth="1"/>
  </cols>
  <sheetData>
    <row r="1" spans="1:21" ht="113.15" customHeight="1" thickBot="1" x14ac:dyDescent="1.4">
      <c r="A1" s="258" t="e" vm="1">
        <v>#VALUE!</v>
      </c>
      <c r="B1" s="259"/>
      <c r="C1" s="259"/>
      <c r="D1" s="259"/>
      <c r="E1" s="197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7"/>
    </row>
    <row r="2" spans="1:21" s="22" customFormat="1" outlineLevel="1" x14ac:dyDescent="0.35">
      <c r="A2" s="146"/>
      <c r="B2" s="73"/>
      <c r="C2" s="73"/>
      <c r="D2" s="83"/>
      <c r="E2" s="209" t="s">
        <v>264</v>
      </c>
      <c r="F2" s="198" t="s">
        <v>0</v>
      </c>
      <c r="G2" s="102" t="s">
        <v>1</v>
      </c>
      <c r="H2" s="172" t="s">
        <v>2</v>
      </c>
      <c r="I2" s="102" t="s">
        <v>3</v>
      </c>
      <c r="J2" s="101" t="s">
        <v>4</v>
      </c>
      <c r="K2" s="102" t="s">
        <v>5</v>
      </c>
      <c r="L2" s="101" t="s">
        <v>33</v>
      </c>
      <c r="M2" s="102" t="s">
        <v>34</v>
      </c>
      <c r="N2" s="101" t="s">
        <v>35</v>
      </c>
      <c r="O2" s="102" t="s">
        <v>36</v>
      </c>
      <c r="P2" s="101" t="s">
        <v>37</v>
      </c>
      <c r="Q2" s="102" t="s">
        <v>38</v>
      </c>
      <c r="R2" s="101" t="s">
        <v>39</v>
      </c>
      <c r="S2" s="102" t="s">
        <v>40</v>
      </c>
      <c r="T2" s="101" t="s">
        <v>41</v>
      </c>
      <c r="U2" s="102" t="s">
        <v>42</v>
      </c>
    </row>
    <row r="3" spans="1:21" s="22" customFormat="1" ht="19" customHeight="1" outlineLevel="1" x14ac:dyDescent="0.35">
      <c r="A3" s="147" t="s">
        <v>120</v>
      </c>
      <c r="B3" s="105"/>
      <c r="C3" s="105"/>
      <c r="D3" s="106"/>
      <c r="E3" s="210"/>
      <c r="F3" s="199"/>
      <c r="G3" s="108"/>
      <c r="H3" s="173"/>
      <c r="I3" s="108"/>
      <c r="J3" s="109">
        <f>120000-SUM(J4:J88)</f>
        <v>57481.13</v>
      </c>
      <c r="K3" s="110"/>
      <c r="L3" s="109">
        <f>120000-SUM(L4:L88)</f>
        <v>120000</v>
      </c>
      <c r="M3" s="110"/>
      <c r="N3" s="109">
        <f>120000-SUM(N4:N88)</f>
        <v>120000</v>
      </c>
      <c r="O3" s="110"/>
      <c r="P3" s="109">
        <f>120000-SUM(P4:P88)</f>
        <v>120000</v>
      </c>
      <c r="Q3" s="110"/>
      <c r="R3" s="109">
        <f>120000-SUM(R4:R88)</f>
        <v>120000</v>
      </c>
      <c r="S3" s="110"/>
      <c r="T3" s="109">
        <f>120000-SUM(T4:T88)</f>
        <v>120000</v>
      </c>
      <c r="U3" s="110"/>
    </row>
    <row r="4" spans="1:21" ht="20.5" customHeight="1" outlineLevel="1" x14ac:dyDescent="0.35">
      <c r="A4" s="147" t="s">
        <v>91</v>
      </c>
      <c r="B4" s="111"/>
      <c r="C4" s="111"/>
      <c r="D4" s="112"/>
      <c r="E4" s="211"/>
      <c r="F4" s="113">
        <f>11919.89+1272.1+64+802+7331.88+447.5+585.9+64+63.49+154.98+85.98+37.99+70.98+114.98+124322.1+78.7+205.39+428.02+474.33+568.4+20855.58+8129.92+1502.03+507.9+12.5+35+24.04+206.7+145.51+1151.5+1867.77+325.69+545.8+100+106.98+114.98</f>
        <v>184724.51000000004</v>
      </c>
      <c r="G4" s="113">
        <v>112031.63</v>
      </c>
      <c r="H4" s="173"/>
      <c r="I4" s="168">
        <v>9409.0400000000009</v>
      </c>
      <c r="J4" s="107"/>
      <c r="K4" s="108"/>
      <c r="L4" s="107"/>
      <c r="M4" s="108"/>
      <c r="N4" s="107"/>
      <c r="O4" s="108"/>
      <c r="P4" s="107"/>
      <c r="Q4" s="108"/>
      <c r="R4" s="107"/>
      <c r="S4" s="108"/>
      <c r="T4" s="107"/>
      <c r="U4" s="108"/>
    </row>
    <row r="5" spans="1:21" x14ac:dyDescent="0.35">
      <c r="A5" s="147" t="s">
        <v>90</v>
      </c>
      <c r="B5" s="144"/>
      <c r="C5" s="144"/>
      <c r="D5" s="145"/>
      <c r="E5" s="212"/>
      <c r="F5" s="200"/>
      <c r="G5" s="140"/>
      <c r="H5" s="171"/>
      <c r="I5" s="140"/>
      <c r="J5" s="141"/>
      <c r="K5" s="140"/>
      <c r="L5" s="141"/>
      <c r="M5" s="140"/>
      <c r="N5" s="141"/>
      <c r="O5" s="140"/>
      <c r="P5" s="141"/>
      <c r="Q5" s="140"/>
      <c r="R5" s="141"/>
      <c r="S5" s="140"/>
      <c r="T5" s="141"/>
      <c r="U5" s="140"/>
    </row>
    <row r="6" spans="1:21" x14ac:dyDescent="0.35">
      <c r="A6" s="148" t="s">
        <v>243</v>
      </c>
      <c r="B6" s="15">
        <v>4200471</v>
      </c>
      <c r="C6" s="46"/>
      <c r="D6" s="84"/>
      <c r="E6" s="213"/>
      <c r="F6" s="169"/>
      <c r="G6" s="44"/>
      <c r="H6" s="32">
        <v>874.18</v>
      </c>
      <c r="I6" s="44"/>
      <c r="J6" s="45"/>
      <c r="K6" s="44"/>
      <c r="L6" s="45"/>
      <c r="M6" s="44"/>
      <c r="N6" s="45"/>
      <c r="O6" s="44"/>
      <c r="P6" s="45"/>
      <c r="Q6" s="44"/>
      <c r="R6" s="45"/>
      <c r="S6" s="44"/>
      <c r="T6" s="45"/>
      <c r="U6" s="44"/>
    </row>
    <row r="7" spans="1:21" x14ac:dyDescent="0.35">
      <c r="A7" s="148" t="s">
        <v>243</v>
      </c>
      <c r="B7" s="15" t="s">
        <v>204</v>
      </c>
      <c r="C7" s="46"/>
      <c r="D7" s="14"/>
      <c r="E7" s="214"/>
      <c r="F7" s="169"/>
      <c r="G7" s="44"/>
      <c r="H7" s="32">
        <v>3751.06</v>
      </c>
      <c r="I7" s="44"/>
      <c r="J7" s="45"/>
      <c r="K7" s="44"/>
      <c r="L7" s="45"/>
      <c r="M7" s="44"/>
      <c r="N7" s="45"/>
      <c r="O7" s="44"/>
      <c r="P7" s="45"/>
      <c r="Q7" s="44"/>
      <c r="R7" s="45"/>
      <c r="S7" s="44"/>
      <c r="T7" s="45"/>
      <c r="U7" s="44"/>
    </row>
    <row r="8" spans="1:21" x14ac:dyDescent="0.35">
      <c r="A8" s="148" t="s">
        <v>243</v>
      </c>
      <c r="B8" s="15" t="s">
        <v>205</v>
      </c>
      <c r="C8" s="46"/>
      <c r="D8" s="14"/>
      <c r="E8" s="214"/>
      <c r="F8" s="169"/>
      <c r="G8" s="44"/>
      <c r="H8" s="32">
        <v>4915.26</v>
      </c>
      <c r="I8" s="44"/>
      <c r="J8" s="45"/>
      <c r="K8" s="44"/>
      <c r="L8" s="45"/>
      <c r="M8" s="44"/>
      <c r="N8" s="45"/>
      <c r="O8" s="44"/>
      <c r="P8" s="45"/>
      <c r="Q8" s="44"/>
      <c r="R8" s="45"/>
      <c r="S8" s="44"/>
      <c r="T8" s="45"/>
      <c r="U8" s="44"/>
    </row>
    <row r="9" spans="1:21" x14ac:dyDescent="0.35">
      <c r="A9" s="148" t="s">
        <v>243</v>
      </c>
      <c r="B9" s="15" t="s">
        <v>206</v>
      </c>
      <c r="C9" s="46"/>
      <c r="D9" s="14"/>
      <c r="E9" s="214"/>
      <c r="F9" s="169"/>
      <c r="G9" s="44"/>
      <c r="H9" s="32">
        <v>8024.81</v>
      </c>
      <c r="I9" s="44"/>
      <c r="J9" s="45"/>
      <c r="K9" s="44"/>
      <c r="L9" s="45"/>
      <c r="M9" s="44"/>
      <c r="N9" s="45"/>
      <c r="O9" s="44"/>
      <c r="P9" s="45"/>
      <c r="Q9" s="44"/>
      <c r="R9" s="45"/>
      <c r="S9" s="44"/>
      <c r="T9" s="45"/>
      <c r="U9" s="44"/>
    </row>
    <row r="10" spans="1:21" x14ac:dyDescent="0.35">
      <c r="A10" s="148" t="s">
        <v>243</v>
      </c>
      <c r="B10" s="253" t="s">
        <v>207</v>
      </c>
      <c r="C10" s="46"/>
      <c r="D10" s="14"/>
      <c r="E10" s="214"/>
      <c r="F10" s="169"/>
      <c r="G10" s="44"/>
      <c r="H10" s="193">
        <v>5867.65</v>
      </c>
      <c r="I10" s="44"/>
      <c r="J10" s="45"/>
      <c r="K10" s="44"/>
      <c r="L10" s="45"/>
      <c r="M10" s="44"/>
      <c r="N10" s="45"/>
      <c r="O10" s="44"/>
      <c r="P10" s="45"/>
      <c r="Q10" s="44"/>
      <c r="R10" s="45"/>
      <c r="S10" s="44"/>
      <c r="T10" s="45"/>
      <c r="U10" s="44"/>
    </row>
    <row r="11" spans="1:21" x14ac:dyDescent="0.35">
      <c r="A11" s="148" t="s">
        <v>243</v>
      </c>
      <c r="B11" s="15" t="s">
        <v>208</v>
      </c>
      <c r="C11" s="46"/>
      <c r="D11" s="14"/>
      <c r="E11" s="214"/>
      <c r="F11" s="169"/>
      <c r="G11" s="44"/>
      <c r="H11" s="32">
        <v>6105.33</v>
      </c>
      <c r="I11" s="44"/>
      <c r="J11" s="45"/>
      <c r="K11" s="44"/>
      <c r="L11" s="45"/>
      <c r="M11" s="44"/>
      <c r="N11" s="45"/>
      <c r="O11" s="44"/>
      <c r="P11" s="45"/>
      <c r="Q11" s="44"/>
      <c r="R11" s="45"/>
      <c r="S11" s="44"/>
      <c r="T11" s="45"/>
      <c r="U11" s="44"/>
    </row>
    <row r="12" spans="1:21" x14ac:dyDescent="0.35">
      <c r="A12" s="148" t="s">
        <v>243</v>
      </c>
      <c r="B12" s="253" t="s">
        <v>209</v>
      </c>
      <c r="C12" s="74"/>
      <c r="D12" s="17"/>
      <c r="E12" s="215"/>
      <c r="F12" s="169"/>
      <c r="G12" s="44"/>
      <c r="H12" s="193">
        <v>165.26</v>
      </c>
      <c r="I12" s="44"/>
      <c r="J12" s="45"/>
      <c r="K12" s="44"/>
      <c r="L12" s="45"/>
      <c r="M12" s="44"/>
      <c r="N12" s="45"/>
      <c r="O12" s="44"/>
      <c r="P12" s="45"/>
      <c r="Q12" s="44"/>
      <c r="R12" s="45"/>
      <c r="S12" s="44"/>
      <c r="T12" s="45"/>
      <c r="U12" s="44"/>
    </row>
    <row r="13" spans="1:21" x14ac:dyDescent="0.35">
      <c r="A13" s="148" t="s">
        <v>243</v>
      </c>
      <c r="B13" s="253" t="s">
        <v>210</v>
      </c>
      <c r="C13" s="74"/>
      <c r="D13" s="17"/>
      <c r="E13" s="215"/>
      <c r="F13" s="169"/>
      <c r="G13" s="44"/>
      <c r="H13" s="193">
        <v>2316.1999999999998</v>
      </c>
      <c r="I13" s="44"/>
      <c r="J13" s="45"/>
      <c r="K13" s="44"/>
      <c r="L13" s="45"/>
      <c r="M13" s="44"/>
      <c r="N13" s="45"/>
      <c r="O13" s="44"/>
      <c r="P13" s="45"/>
      <c r="Q13" s="44"/>
      <c r="R13" s="45"/>
      <c r="S13" s="44"/>
      <c r="T13" s="45"/>
      <c r="U13" s="44"/>
    </row>
    <row r="14" spans="1:21" x14ac:dyDescent="0.35">
      <c r="A14" s="148" t="s">
        <v>243</v>
      </c>
      <c r="B14" s="253" t="s">
        <v>211</v>
      </c>
      <c r="C14" s="74"/>
      <c r="D14" s="17"/>
      <c r="E14" s="215"/>
      <c r="F14" s="169"/>
      <c r="G14" s="44"/>
      <c r="H14" s="193">
        <v>712.22</v>
      </c>
      <c r="I14" s="44"/>
      <c r="J14" s="45"/>
      <c r="K14" s="44"/>
      <c r="L14" s="45"/>
      <c r="M14" s="44"/>
      <c r="N14" s="45"/>
      <c r="O14" s="44"/>
      <c r="P14" s="45"/>
      <c r="Q14" s="44"/>
      <c r="R14" s="45"/>
      <c r="S14" s="44"/>
      <c r="T14" s="45"/>
      <c r="U14" s="44"/>
    </row>
    <row r="15" spans="1:21" x14ac:dyDescent="0.35">
      <c r="A15" s="148" t="s">
        <v>243</v>
      </c>
      <c r="B15" s="15" t="s">
        <v>212</v>
      </c>
      <c r="C15" s="74"/>
      <c r="D15" s="17"/>
      <c r="E15" s="215"/>
      <c r="F15" s="169"/>
      <c r="G15" s="44"/>
      <c r="H15" s="32">
        <v>244.19</v>
      </c>
      <c r="I15" s="44"/>
      <c r="J15" s="45"/>
      <c r="K15" s="44"/>
      <c r="L15" s="45"/>
      <c r="M15" s="44"/>
      <c r="N15" s="45"/>
      <c r="O15" s="44"/>
      <c r="P15" s="45"/>
      <c r="Q15" s="44"/>
      <c r="R15" s="45"/>
      <c r="S15" s="44"/>
      <c r="T15" s="45"/>
      <c r="U15" s="44"/>
    </row>
    <row r="16" spans="1:21" x14ac:dyDescent="0.35">
      <c r="A16" s="148" t="s">
        <v>243</v>
      </c>
      <c r="B16" s="15" t="s">
        <v>213</v>
      </c>
      <c r="C16" s="74"/>
      <c r="D16" s="17"/>
      <c r="E16" s="215"/>
      <c r="F16" s="169"/>
      <c r="G16" s="44"/>
      <c r="H16" s="18">
        <v>100.18</v>
      </c>
      <c r="I16" s="44"/>
      <c r="J16" s="45"/>
      <c r="K16" s="44"/>
      <c r="L16" s="45"/>
      <c r="M16" s="44"/>
      <c r="N16" s="45"/>
      <c r="O16" s="44"/>
      <c r="P16" s="45"/>
      <c r="Q16" s="44"/>
      <c r="R16" s="45"/>
      <c r="S16" s="44"/>
      <c r="T16" s="45"/>
      <c r="U16" s="44"/>
    </row>
    <row r="17" spans="1:21" x14ac:dyDescent="0.35">
      <c r="A17" s="148" t="s">
        <v>243</v>
      </c>
      <c r="B17" s="253" t="s">
        <v>214</v>
      </c>
      <c r="C17" s="74"/>
      <c r="D17" s="17"/>
      <c r="E17" s="215"/>
      <c r="F17" s="169"/>
      <c r="G17" s="44"/>
      <c r="H17" s="193">
        <v>447.5</v>
      </c>
      <c r="I17" s="44"/>
      <c r="J17" s="45"/>
      <c r="K17" s="44"/>
      <c r="L17" s="45"/>
      <c r="M17" s="44"/>
      <c r="N17" s="45"/>
      <c r="O17" s="44"/>
      <c r="P17" s="45"/>
      <c r="Q17" s="44"/>
      <c r="R17" s="45"/>
      <c r="S17" s="44"/>
      <c r="T17" s="45"/>
      <c r="U17" s="44"/>
    </row>
    <row r="18" spans="1:21" x14ac:dyDescent="0.35">
      <c r="A18" s="148" t="s">
        <v>243</v>
      </c>
      <c r="B18" s="15" t="s">
        <v>223</v>
      </c>
      <c r="C18" s="74"/>
      <c r="D18" s="17"/>
      <c r="E18" s="215"/>
      <c r="F18" s="169"/>
      <c r="G18" s="44"/>
      <c r="H18" s="32">
        <v>4091.11</v>
      </c>
      <c r="I18" s="44"/>
      <c r="J18" s="45"/>
      <c r="K18" s="44"/>
      <c r="L18" s="45"/>
      <c r="M18" s="44"/>
      <c r="N18" s="45"/>
      <c r="O18" s="44"/>
      <c r="P18" s="45"/>
      <c r="Q18" s="44"/>
      <c r="R18" s="45"/>
      <c r="S18" s="44"/>
      <c r="T18" s="45"/>
      <c r="U18" s="44"/>
    </row>
    <row r="19" spans="1:21" x14ac:dyDescent="0.35">
      <c r="A19" s="148" t="s">
        <v>243</v>
      </c>
      <c r="B19" s="15" t="s">
        <v>228</v>
      </c>
      <c r="C19" s="74"/>
      <c r="D19" s="17"/>
      <c r="E19" s="215"/>
      <c r="F19" s="169"/>
      <c r="G19" s="44"/>
      <c r="H19" s="32">
        <v>120.33</v>
      </c>
      <c r="I19" s="44"/>
      <c r="J19" s="45"/>
      <c r="K19" s="44"/>
      <c r="L19" s="45"/>
      <c r="M19" s="44"/>
      <c r="N19" s="45"/>
      <c r="O19" s="44"/>
      <c r="P19" s="45"/>
      <c r="Q19" s="44"/>
      <c r="R19" s="45"/>
      <c r="S19" s="44"/>
      <c r="T19" s="45"/>
      <c r="U19" s="44"/>
    </row>
    <row r="20" spans="1:21" x14ac:dyDescent="0.35">
      <c r="A20" s="148" t="s">
        <v>243</v>
      </c>
      <c r="B20" s="15" t="s">
        <v>231</v>
      </c>
      <c r="C20" s="74"/>
      <c r="D20" s="17"/>
      <c r="E20" s="215"/>
      <c r="F20" s="169"/>
      <c r="G20" s="44"/>
      <c r="H20" s="32">
        <v>2067.23</v>
      </c>
      <c r="I20" s="44"/>
      <c r="J20" s="45"/>
      <c r="K20" s="44"/>
      <c r="L20" s="45"/>
      <c r="M20" s="44"/>
      <c r="N20" s="45"/>
      <c r="O20" s="44"/>
      <c r="P20" s="45"/>
      <c r="Q20" s="44"/>
      <c r="R20" s="45"/>
      <c r="S20" s="44"/>
      <c r="T20" s="45"/>
      <c r="U20" s="44"/>
    </row>
    <row r="21" spans="1:21" x14ac:dyDescent="0.35">
      <c r="A21" s="148" t="s">
        <v>243</v>
      </c>
      <c r="B21" s="15" t="s">
        <v>234</v>
      </c>
      <c r="C21" s="74"/>
      <c r="D21" s="17"/>
      <c r="E21" s="215"/>
      <c r="F21" s="169"/>
      <c r="G21" s="44"/>
      <c r="H21" s="32">
        <v>72.97</v>
      </c>
      <c r="I21" s="44"/>
      <c r="J21" s="45"/>
      <c r="K21" s="44"/>
      <c r="L21" s="45"/>
      <c r="M21" s="44"/>
      <c r="N21" s="45"/>
      <c r="O21" s="44"/>
      <c r="P21" s="45"/>
      <c r="Q21" s="44"/>
      <c r="R21" s="45"/>
      <c r="S21" s="44"/>
      <c r="T21" s="45"/>
      <c r="U21" s="44"/>
    </row>
    <row r="22" spans="1:21" x14ac:dyDescent="0.35">
      <c r="A22" s="148" t="s">
        <v>243</v>
      </c>
      <c r="B22" s="15" t="s">
        <v>235</v>
      </c>
      <c r="C22" s="74"/>
      <c r="D22" s="17"/>
      <c r="E22" s="215"/>
      <c r="F22" s="169"/>
      <c r="G22" s="44"/>
      <c r="H22" s="32">
        <v>103.2</v>
      </c>
      <c r="I22" s="44"/>
      <c r="J22" s="45"/>
      <c r="K22" s="44"/>
      <c r="L22" s="45"/>
      <c r="M22" s="44"/>
      <c r="N22" s="45"/>
      <c r="O22" s="44"/>
      <c r="P22" s="45"/>
      <c r="Q22" s="44"/>
      <c r="R22" s="45"/>
      <c r="S22" s="44"/>
      <c r="T22" s="45"/>
      <c r="U22" s="44"/>
    </row>
    <row r="23" spans="1:21" x14ac:dyDescent="0.35">
      <c r="A23" s="148" t="s">
        <v>243</v>
      </c>
      <c r="B23" s="15" t="s">
        <v>238</v>
      </c>
      <c r="C23" s="74"/>
      <c r="D23" s="17"/>
      <c r="E23" s="215"/>
      <c r="F23" s="169"/>
      <c r="G23" s="44"/>
      <c r="H23" s="32">
        <v>65.599999999999994</v>
      </c>
      <c r="I23" s="44"/>
      <c r="J23" s="45"/>
      <c r="K23" s="44"/>
      <c r="L23" s="45"/>
      <c r="M23" s="44"/>
      <c r="N23" s="45"/>
      <c r="O23" s="44"/>
      <c r="P23" s="45"/>
      <c r="Q23" s="44"/>
      <c r="R23" s="45"/>
      <c r="S23" s="44"/>
      <c r="T23" s="45"/>
      <c r="U23" s="44"/>
    </row>
    <row r="24" spans="1:21" x14ac:dyDescent="0.35">
      <c r="A24" s="148" t="s">
        <v>243</v>
      </c>
      <c r="B24" s="15" t="s">
        <v>242</v>
      </c>
      <c r="C24" s="74"/>
      <c r="D24" s="17"/>
      <c r="E24" s="215"/>
      <c r="F24" s="169"/>
      <c r="G24" s="44"/>
      <c r="H24" s="32">
        <v>3415.43</v>
      </c>
      <c r="I24" s="44"/>
      <c r="J24" s="45"/>
      <c r="K24" s="44"/>
      <c r="L24" s="45"/>
      <c r="M24" s="44"/>
      <c r="N24" s="45"/>
      <c r="O24" s="44"/>
      <c r="P24" s="45"/>
      <c r="Q24" s="44"/>
      <c r="R24" s="45"/>
      <c r="S24" s="44"/>
      <c r="T24" s="45"/>
      <c r="U24" s="44"/>
    </row>
    <row r="25" spans="1:21" x14ac:dyDescent="0.35">
      <c r="A25" s="148" t="s">
        <v>243</v>
      </c>
      <c r="B25" s="15" t="s">
        <v>259</v>
      </c>
      <c r="C25" s="74"/>
      <c r="D25" s="17"/>
      <c r="E25" s="215"/>
      <c r="F25" s="169"/>
      <c r="G25" s="44"/>
      <c r="H25" s="32">
        <v>38660.78</v>
      </c>
      <c r="I25" s="44"/>
      <c r="J25" s="45"/>
      <c r="K25" s="44"/>
      <c r="L25" s="45"/>
      <c r="M25" s="44"/>
      <c r="N25" s="45"/>
      <c r="O25" s="44"/>
      <c r="P25" s="45"/>
      <c r="Q25" s="44"/>
      <c r="R25" s="45"/>
      <c r="S25" s="44"/>
      <c r="T25" s="45"/>
      <c r="U25" s="44"/>
    </row>
    <row r="26" spans="1:21" x14ac:dyDescent="0.35">
      <c r="A26" s="148"/>
      <c r="B26" s="74"/>
      <c r="C26" s="74"/>
      <c r="D26" s="17"/>
      <c r="E26" s="215"/>
      <c r="F26" s="169"/>
      <c r="G26" s="44"/>
      <c r="H26" s="174"/>
      <c r="I26" s="44"/>
      <c r="J26" s="45"/>
      <c r="K26" s="44"/>
      <c r="L26" s="45"/>
      <c r="M26" s="44"/>
      <c r="N26" s="45"/>
      <c r="O26" s="44"/>
      <c r="P26" s="45"/>
      <c r="Q26" s="44"/>
      <c r="R26" s="45"/>
      <c r="S26" s="44"/>
      <c r="T26" s="45"/>
      <c r="U26" s="44"/>
    </row>
    <row r="27" spans="1:21" x14ac:dyDescent="0.35">
      <c r="A27" s="149"/>
      <c r="B27" s="114"/>
      <c r="C27" s="114"/>
      <c r="D27" s="115"/>
      <c r="E27" s="216"/>
      <c r="F27" s="201"/>
      <c r="G27" s="116"/>
      <c r="H27" s="175"/>
      <c r="I27" s="116"/>
      <c r="J27" s="118"/>
      <c r="K27" s="116"/>
      <c r="L27" s="117"/>
      <c r="M27" s="116"/>
      <c r="N27" s="117"/>
      <c r="O27" s="116"/>
      <c r="P27" s="117"/>
      <c r="Q27" s="116"/>
      <c r="R27" s="117"/>
      <c r="S27" s="116"/>
      <c r="T27" s="117"/>
      <c r="U27" s="116"/>
    </row>
    <row r="28" spans="1:21" x14ac:dyDescent="0.35">
      <c r="A28" s="147" t="s">
        <v>82</v>
      </c>
      <c r="B28" s="142" t="s">
        <v>83</v>
      </c>
      <c r="C28" s="143"/>
      <c r="D28" s="142" t="s">
        <v>84</v>
      </c>
      <c r="E28" s="217"/>
      <c r="F28" s="200"/>
      <c r="G28" s="140"/>
      <c r="H28" s="171"/>
      <c r="I28" s="140"/>
      <c r="J28" s="141"/>
      <c r="K28" s="140"/>
      <c r="L28" s="141"/>
      <c r="M28" s="140"/>
      <c r="N28" s="141"/>
      <c r="O28" s="140"/>
      <c r="P28" s="141"/>
      <c r="Q28" s="140"/>
      <c r="R28" s="141"/>
      <c r="S28" s="140"/>
      <c r="T28" s="141"/>
      <c r="U28" s="140"/>
    </row>
    <row r="29" spans="1:21" x14ac:dyDescent="0.35">
      <c r="A29" s="148" t="s">
        <v>243</v>
      </c>
      <c r="B29" s="15" t="s">
        <v>104</v>
      </c>
      <c r="C29" s="77"/>
      <c r="D29" s="17" t="s">
        <v>109</v>
      </c>
      <c r="E29" s="215"/>
      <c r="F29" s="28">
        <v>577.1</v>
      </c>
      <c r="G29" s="3"/>
      <c r="H29" s="174"/>
      <c r="I29" s="3"/>
      <c r="J29" s="45"/>
      <c r="K29" s="44"/>
      <c r="L29" s="45"/>
      <c r="M29" s="44"/>
      <c r="N29" s="45"/>
      <c r="O29" s="44"/>
      <c r="P29" s="45"/>
      <c r="Q29" s="44"/>
      <c r="R29" s="45"/>
      <c r="S29" s="44"/>
      <c r="T29" s="45"/>
      <c r="U29" s="44"/>
    </row>
    <row r="30" spans="1:21" x14ac:dyDescent="0.35">
      <c r="A30" s="148" t="s">
        <v>243</v>
      </c>
      <c r="B30" s="15" t="s">
        <v>105</v>
      </c>
      <c r="C30" s="77"/>
      <c r="D30" s="17" t="s">
        <v>109</v>
      </c>
      <c r="E30" s="215"/>
      <c r="F30" s="28">
        <v>1152</v>
      </c>
      <c r="G30" s="3"/>
      <c r="H30" s="174"/>
      <c r="I30" s="3"/>
      <c r="J30" s="45"/>
      <c r="K30" s="44"/>
      <c r="L30" s="45"/>
      <c r="M30" s="44"/>
      <c r="N30" s="45"/>
      <c r="O30" s="44"/>
      <c r="P30" s="45"/>
      <c r="Q30" s="44"/>
      <c r="R30" s="45"/>
      <c r="S30" s="44"/>
      <c r="T30" s="45"/>
      <c r="U30" s="44"/>
    </row>
    <row r="31" spans="1:21" x14ac:dyDescent="0.35">
      <c r="A31" s="148" t="s">
        <v>243</v>
      </c>
      <c r="B31" s="15" t="s">
        <v>106</v>
      </c>
      <c r="C31" s="77"/>
      <c r="D31" s="17" t="s">
        <v>109</v>
      </c>
      <c r="E31" s="215"/>
      <c r="F31" s="28">
        <v>3356.23</v>
      </c>
      <c r="G31" s="3"/>
      <c r="H31" s="174"/>
      <c r="I31" s="3"/>
      <c r="J31" s="45"/>
      <c r="K31" s="44"/>
      <c r="L31" s="45"/>
      <c r="M31" s="44"/>
      <c r="N31" s="45"/>
      <c r="O31" s="44"/>
      <c r="P31" s="45"/>
      <c r="Q31" s="44"/>
      <c r="R31" s="45"/>
      <c r="S31" s="44"/>
      <c r="T31" s="45"/>
      <c r="U31" s="44"/>
    </row>
    <row r="32" spans="1:21" x14ac:dyDescent="0.35">
      <c r="A32" s="148" t="s">
        <v>243</v>
      </c>
      <c r="B32" s="15">
        <v>2200502</v>
      </c>
      <c r="C32" s="77"/>
      <c r="D32" s="17" t="s">
        <v>109</v>
      </c>
      <c r="E32" s="215"/>
      <c r="F32" s="28">
        <v>127.45</v>
      </c>
      <c r="G32" s="3"/>
      <c r="H32" s="174"/>
      <c r="I32" s="3"/>
      <c r="J32" s="45"/>
      <c r="K32" s="44"/>
      <c r="L32" s="45"/>
      <c r="M32" s="44"/>
      <c r="N32" s="45"/>
      <c r="O32" s="44"/>
      <c r="P32" s="45"/>
      <c r="Q32" s="44"/>
      <c r="R32" s="45"/>
      <c r="S32" s="44"/>
      <c r="T32" s="45"/>
      <c r="U32" s="44"/>
    </row>
    <row r="33" spans="1:21" x14ac:dyDescent="0.35">
      <c r="A33" s="148" t="s">
        <v>243</v>
      </c>
      <c r="B33" s="19">
        <v>2200494</v>
      </c>
      <c r="C33" s="77"/>
      <c r="D33" s="17" t="s">
        <v>109</v>
      </c>
      <c r="E33" s="215"/>
      <c r="F33" s="28">
        <v>622.66999999999996</v>
      </c>
      <c r="G33" s="3"/>
      <c r="H33" s="174"/>
      <c r="I33" s="3"/>
      <c r="J33" s="45"/>
      <c r="K33" s="44"/>
      <c r="L33" s="45"/>
      <c r="M33" s="44"/>
      <c r="N33" s="45"/>
      <c r="O33" s="44"/>
      <c r="P33" s="45"/>
      <c r="Q33" s="44"/>
      <c r="R33" s="45"/>
      <c r="S33" s="44"/>
      <c r="T33" s="45"/>
      <c r="U33" s="44"/>
    </row>
    <row r="34" spans="1:21" x14ac:dyDescent="0.35">
      <c r="A34" s="148" t="s">
        <v>243</v>
      </c>
      <c r="B34" s="19">
        <v>2200503</v>
      </c>
      <c r="C34" s="77"/>
      <c r="D34" s="17" t="s">
        <v>109</v>
      </c>
      <c r="E34" s="215"/>
      <c r="F34" s="28">
        <v>521.07000000000005</v>
      </c>
      <c r="G34" s="3"/>
      <c r="H34" s="174"/>
      <c r="I34" s="3"/>
      <c r="J34" s="45"/>
      <c r="K34" s="44"/>
      <c r="L34" s="45"/>
      <c r="M34" s="44"/>
      <c r="N34" s="45"/>
      <c r="O34" s="44"/>
      <c r="P34" s="45"/>
      <c r="Q34" s="44"/>
      <c r="R34" s="45"/>
      <c r="S34" s="44"/>
      <c r="T34" s="45"/>
      <c r="U34" s="44"/>
    </row>
    <row r="35" spans="1:21" x14ac:dyDescent="0.35">
      <c r="A35" s="148" t="s">
        <v>243</v>
      </c>
      <c r="B35" s="19" t="s">
        <v>153</v>
      </c>
      <c r="C35" s="77"/>
      <c r="D35" s="17" t="s">
        <v>109</v>
      </c>
      <c r="E35" s="215"/>
      <c r="F35" s="28"/>
      <c r="G35" s="3">
        <v>2126.83</v>
      </c>
      <c r="H35" s="174"/>
      <c r="I35" s="3"/>
      <c r="J35" s="45"/>
      <c r="K35" s="44"/>
      <c r="L35" s="45"/>
      <c r="M35" s="44"/>
      <c r="N35" s="45"/>
      <c r="O35" s="44"/>
      <c r="P35" s="45"/>
      <c r="Q35" s="44"/>
      <c r="R35" s="45"/>
      <c r="S35" s="44"/>
      <c r="T35" s="45"/>
      <c r="U35" s="44"/>
    </row>
    <row r="36" spans="1:21" x14ac:dyDescent="0.35">
      <c r="A36" s="148" t="s">
        <v>243</v>
      </c>
      <c r="B36" s="19" t="s">
        <v>155</v>
      </c>
      <c r="C36" s="77"/>
      <c r="D36" s="17" t="s">
        <v>109</v>
      </c>
      <c r="E36" s="215"/>
      <c r="F36" s="28"/>
      <c r="G36" s="3">
        <v>992</v>
      </c>
      <c r="H36" s="174"/>
      <c r="I36" s="3"/>
      <c r="J36" s="45"/>
      <c r="K36" s="44"/>
      <c r="L36" s="45"/>
      <c r="M36" s="44"/>
      <c r="N36" s="45"/>
      <c r="O36" s="44"/>
      <c r="P36" s="45"/>
      <c r="Q36" s="44"/>
      <c r="R36" s="45"/>
      <c r="S36" s="44"/>
      <c r="T36" s="45"/>
      <c r="U36" s="44"/>
    </row>
    <row r="37" spans="1:21" x14ac:dyDescent="0.35">
      <c r="A37" s="148" t="s">
        <v>243</v>
      </c>
      <c r="B37" s="19" t="s">
        <v>154</v>
      </c>
      <c r="C37" s="77"/>
      <c r="D37" s="17" t="s">
        <v>109</v>
      </c>
      <c r="E37" s="215"/>
      <c r="F37" s="28"/>
      <c r="G37" s="3">
        <v>1396</v>
      </c>
      <c r="H37" s="174"/>
      <c r="I37" s="3"/>
      <c r="J37" s="45"/>
      <c r="K37" s="44"/>
      <c r="L37" s="45"/>
      <c r="M37" s="44"/>
      <c r="N37" s="45"/>
      <c r="O37" s="44"/>
      <c r="P37" s="45"/>
      <c r="Q37" s="44"/>
      <c r="R37" s="45"/>
      <c r="S37" s="44"/>
      <c r="T37" s="45"/>
      <c r="U37" s="44"/>
    </row>
    <row r="38" spans="1:21" x14ac:dyDescent="0.35">
      <c r="A38" s="148" t="s">
        <v>243</v>
      </c>
      <c r="B38" s="15" t="s">
        <v>108</v>
      </c>
      <c r="C38" s="77"/>
      <c r="D38" s="17" t="s">
        <v>109</v>
      </c>
      <c r="E38" s="215"/>
      <c r="F38" s="28">
        <v>6646.32</v>
      </c>
      <c r="G38" s="3"/>
      <c r="H38" s="174"/>
      <c r="I38" s="3"/>
      <c r="J38" s="45"/>
      <c r="K38" s="44"/>
      <c r="L38" s="45"/>
      <c r="M38" s="44"/>
      <c r="N38" s="45"/>
      <c r="O38" s="44"/>
      <c r="P38" s="45"/>
      <c r="Q38" s="44"/>
      <c r="R38" s="45"/>
      <c r="S38" s="44"/>
      <c r="T38" s="45"/>
      <c r="U38" s="44"/>
    </row>
    <row r="39" spans="1:21" x14ac:dyDescent="0.35">
      <c r="A39" s="148" t="s">
        <v>243</v>
      </c>
      <c r="B39" s="15" t="s">
        <v>174</v>
      </c>
      <c r="C39" s="77"/>
      <c r="D39" s="17" t="s">
        <v>109</v>
      </c>
      <c r="E39" s="215"/>
      <c r="F39" s="28"/>
      <c r="G39" s="3">
        <v>1272.0999999999999</v>
      </c>
      <c r="H39" s="170"/>
      <c r="I39" s="3"/>
      <c r="J39" s="45"/>
      <c r="K39" s="44"/>
      <c r="L39" s="45"/>
      <c r="M39" s="44"/>
      <c r="N39" s="45"/>
      <c r="O39" s="44"/>
      <c r="P39" s="45"/>
      <c r="Q39" s="44"/>
      <c r="R39" s="45"/>
      <c r="S39" s="44"/>
      <c r="T39" s="45"/>
      <c r="U39" s="44"/>
    </row>
    <row r="40" spans="1:21" x14ac:dyDescent="0.35">
      <c r="A40" s="148" t="s">
        <v>243</v>
      </c>
      <c r="B40" s="15" t="s">
        <v>203</v>
      </c>
      <c r="C40" s="77"/>
      <c r="D40" s="17" t="s">
        <v>109</v>
      </c>
      <c r="E40" s="215"/>
      <c r="F40" s="28"/>
      <c r="G40" s="3">
        <v>660</v>
      </c>
      <c r="H40" s="174"/>
      <c r="I40" s="3"/>
      <c r="J40" s="45"/>
      <c r="K40" s="44"/>
      <c r="L40" s="45"/>
      <c r="M40" s="44"/>
      <c r="N40" s="45"/>
      <c r="O40" s="44"/>
      <c r="P40" s="45"/>
      <c r="Q40" s="44"/>
      <c r="R40" s="45"/>
      <c r="S40" s="44"/>
      <c r="T40" s="45"/>
      <c r="U40" s="44"/>
    </row>
    <row r="41" spans="1:21" x14ac:dyDescent="0.35">
      <c r="A41" s="148" t="s">
        <v>243</v>
      </c>
      <c r="B41" s="15" t="s">
        <v>200</v>
      </c>
      <c r="C41" s="77"/>
      <c r="D41" s="17" t="s">
        <v>109</v>
      </c>
      <c r="E41" s="215"/>
      <c r="F41" s="28"/>
      <c r="G41" s="3"/>
      <c r="H41" s="170"/>
      <c r="I41" s="3">
        <v>520</v>
      </c>
      <c r="J41" s="45"/>
      <c r="K41" s="44"/>
      <c r="L41" s="45"/>
      <c r="M41" s="44"/>
      <c r="N41" s="45"/>
      <c r="O41" s="44"/>
      <c r="P41" s="45"/>
      <c r="Q41" s="44"/>
      <c r="R41" s="45"/>
      <c r="S41" s="44"/>
      <c r="T41" s="45"/>
      <c r="U41" s="44"/>
    </row>
    <row r="42" spans="1:21" x14ac:dyDescent="0.35">
      <c r="A42" s="148" t="s">
        <v>243</v>
      </c>
      <c r="B42" s="15" t="s">
        <v>236</v>
      </c>
      <c r="C42" s="77"/>
      <c r="D42" s="17" t="s">
        <v>109</v>
      </c>
      <c r="E42" s="215"/>
      <c r="F42" s="28"/>
      <c r="G42" s="3"/>
      <c r="H42" s="170"/>
      <c r="I42" s="3">
        <v>1247</v>
      </c>
      <c r="J42" s="45"/>
      <c r="K42" s="44"/>
      <c r="L42" s="45"/>
      <c r="M42" s="44"/>
      <c r="N42" s="45"/>
      <c r="O42" s="44"/>
      <c r="P42" s="45"/>
      <c r="Q42" s="44"/>
      <c r="R42" s="45"/>
      <c r="S42" s="44"/>
      <c r="T42" s="45"/>
      <c r="U42" s="44"/>
    </row>
    <row r="43" spans="1:21" x14ac:dyDescent="0.35">
      <c r="A43" s="148" t="s">
        <v>243</v>
      </c>
      <c r="B43" s="15" t="s">
        <v>260</v>
      </c>
      <c r="C43" s="74"/>
      <c r="D43" s="17" t="s">
        <v>109</v>
      </c>
      <c r="E43" s="215"/>
      <c r="F43" s="28"/>
      <c r="G43" s="3"/>
      <c r="H43" s="174"/>
      <c r="I43" s="3">
        <v>71.989999999999995</v>
      </c>
      <c r="J43" s="45"/>
      <c r="K43" s="44"/>
      <c r="L43" s="45"/>
      <c r="M43" s="44"/>
      <c r="N43" s="45"/>
      <c r="O43" s="44"/>
      <c r="P43" s="45"/>
      <c r="Q43" s="44"/>
      <c r="R43" s="45"/>
      <c r="S43" s="44"/>
      <c r="T43" s="45"/>
      <c r="U43" s="44"/>
    </row>
    <row r="44" spans="1:21" x14ac:dyDescent="0.35">
      <c r="A44" s="149"/>
      <c r="B44" s="114"/>
      <c r="C44" s="114"/>
      <c r="D44" s="115" t="s">
        <v>109</v>
      </c>
      <c r="E44" s="216"/>
      <c r="F44" s="201"/>
      <c r="G44" s="116"/>
      <c r="H44" s="175"/>
      <c r="I44" s="116"/>
      <c r="J44" s="117"/>
      <c r="K44" s="116"/>
      <c r="L44" s="117"/>
      <c r="M44" s="116"/>
      <c r="N44" s="117"/>
      <c r="O44" s="116"/>
      <c r="P44" s="117"/>
      <c r="Q44" s="116"/>
      <c r="R44" s="117"/>
      <c r="S44" s="116"/>
      <c r="T44" s="117"/>
      <c r="U44" s="116"/>
    </row>
    <row r="45" spans="1:21" x14ac:dyDescent="0.35">
      <c r="A45" s="147" t="s">
        <v>110</v>
      </c>
      <c r="B45" s="105"/>
      <c r="C45" s="105"/>
      <c r="D45" s="139"/>
      <c r="E45" s="218"/>
      <c r="F45" s="200"/>
      <c r="G45" s="194"/>
      <c r="H45" s="171"/>
      <c r="I45" s="140"/>
      <c r="J45" s="141"/>
      <c r="K45" s="140"/>
      <c r="L45" s="141"/>
      <c r="M45" s="140"/>
      <c r="N45" s="141"/>
      <c r="O45" s="140"/>
      <c r="P45" s="141"/>
      <c r="Q45" s="140"/>
      <c r="R45" s="141"/>
      <c r="S45" s="140"/>
      <c r="T45" s="141"/>
      <c r="U45" s="140"/>
    </row>
    <row r="46" spans="1:21" x14ac:dyDescent="0.35">
      <c r="A46" s="13" t="s">
        <v>243</v>
      </c>
      <c r="B46" s="15">
        <v>2200450</v>
      </c>
      <c r="C46" s="74"/>
      <c r="D46" s="17" t="s">
        <v>109</v>
      </c>
      <c r="E46" s="219"/>
      <c r="F46" s="28"/>
      <c r="G46" s="195"/>
      <c r="H46" s="196">
        <f>4342.35-683.54</f>
        <v>3658.8100000000004</v>
      </c>
      <c r="I46" s="44"/>
      <c r="J46" s="45"/>
      <c r="K46" s="44"/>
      <c r="L46" s="45"/>
      <c r="M46" s="44"/>
      <c r="N46" s="45"/>
      <c r="O46" s="44"/>
      <c r="P46" s="45"/>
      <c r="Q46" s="44"/>
      <c r="R46" s="45"/>
      <c r="S46" s="44"/>
      <c r="T46" s="45"/>
      <c r="U46" s="44"/>
    </row>
    <row r="47" spans="1:21" x14ac:dyDescent="0.35">
      <c r="A47" s="13" t="s">
        <v>243</v>
      </c>
      <c r="B47" s="15" t="s">
        <v>150</v>
      </c>
      <c r="C47" s="74"/>
      <c r="D47" s="17" t="s">
        <v>109</v>
      </c>
      <c r="E47" s="219"/>
      <c r="F47" s="28"/>
      <c r="G47" s="195"/>
      <c r="H47" s="32">
        <v>533.82000000000005</v>
      </c>
      <c r="I47" s="44"/>
      <c r="J47" s="45"/>
      <c r="K47" s="44"/>
      <c r="L47" s="45"/>
      <c r="M47" s="44"/>
      <c r="N47" s="45"/>
      <c r="O47" s="44"/>
      <c r="P47" s="45"/>
      <c r="Q47" s="44"/>
      <c r="R47" s="45"/>
      <c r="S47" s="44"/>
      <c r="T47" s="45"/>
      <c r="U47" s="44"/>
    </row>
    <row r="48" spans="1:21" x14ac:dyDescent="0.35">
      <c r="A48" s="13" t="s">
        <v>243</v>
      </c>
      <c r="B48" s="15" t="s">
        <v>165</v>
      </c>
      <c r="C48" s="74"/>
      <c r="D48" s="17" t="s">
        <v>109</v>
      </c>
      <c r="E48" s="219"/>
      <c r="F48" s="28"/>
      <c r="G48" s="195"/>
      <c r="H48" s="32">
        <v>89.16</v>
      </c>
      <c r="I48" s="44"/>
      <c r="J48" s="45"/>
      <c r="K48" s="44"/>
      <c r="L48" s="45"/>
      <c r="M48" s="44"/>
      <c r="N48" s="45"/>
      <c r="O48" s="44"/>
      <c r="P48" s="45"/>
      <c r="Q48" s="44"/>
      <c r="R48" s="45"/>
      <c r="S48" s="44"/>
      <c r="T48" s="45"/>
      <c r="U48" s="44"/>
    </row>
    <row r="49" spans="1:21" x14ac:dyDescent="0.35">
      <c r="A49" s="13" t="s">
        <v>243</v>
      </c>
      <c r="B49" s="15" t="s">
        <v>176</v>
      </c>
      <c r="C49" s="74"/>
      <c r="D49" s="17" t="s">
        <v>109</v>
      </c>
      <c r="E49" s="219"/>
      <c r="F49" s="28"/>
      <c r="G49" s="195"/>
      <c r="H49" s="32">
        <v>1267.0999999999999</v>
      </c>
      <c r="I49" s="44"/>
      <c r="J49" s="45"/>
      <c r="K49" s="44"/>
      <c r="L49" s="45"/>
      <c r="M49" s="44"/>
      <c r="N49" s="45"/>
      <c r="O49" s="44"/>
      <c r="P49" s="45"/>
      <c r="Q49" s="44"/>
      <c r="R49" s="45"/>
      <c r="S49" s="44"/>
      <c r="T49" s="45"/>
      <c r="U49" s="44"/>
    </row>
    <row r="50" spans="1:21" x14ac:dyDescent="0.35">
      <c r="A50" s="13" t="s">
        <v>243</v>
      </c>
      <c r="B50" s="15">
        <v>2200471</v>
      </c>
      <c r="C50" s="74"/>
      <c r="D50" s="17" t="s">
        <v>109</v>
      </c>
      <c r="E50" s="219"/>
      <c r="F50" s="28"/>
      <c r="G50" s="195"/>
      <c r="H50" s="32">
        <v>2575.8000000000002</v>
      </c>
      <c r="I50" s="44"/>
      <c r="J50" s="45"/>
      <c r="K50" s="44"/>
      <c r="L50" s="45"/>
      <c r="M50" s="44"/>
      <c r="N50" s="45"/>
      <c r="O50" s="44"/>
      <c r="P50" s="45"/>
      <c r="Q50" s="44"/>
      <c r="R50" s="45"/>
      <c r="S50" s="44"/>
      <c r="T50" s="45"/>
      <c r="U50" s="44"/>
    </row>
    <row r="51" spans="1:21" x14ac:dyDescent="0.35">
      <c r="A51" s="13" t="s">
        <v>243</v>
      </c>
      <c r="B51" s="15">
        <v>2200390</v>
      </c>
      <c r="C51" s="74"/>
      <c r="D51" s="17" t="s">
        <v>109</v>
      </c>
      <c r="E51" s="215"/>
      <c r="F51" s="28"/>
      <c r="G51" s="195"/>
      <c r="H51" s="32">
        <v>68015.850000000006</v>
      </c>
      <c r="I51" s="44"/>
      <c r="J51" s="45"/>
      <c r="K51" s="44"/>
      <c r="L51" s="45"/>
      <c r="M51" s="44"/>
      <c r="N51" s="45"/>
      <c r="O51" s="44"/>
      <c r="P51" s="45"/>
      <c r="Q51" s="44"/>
      <c r="R51" s="45"/>
      <c r="S51" s="44"/>
      <c r="T51" s="45"/>
      <c r="U51" s="44"/>
    </row>
    <row r="52" spans="1:21" x14ac:dyDescent="0.35">
      <c r="A52" s="13" t="s">
        <v>243</v>
      </c>
      <c r="B52" s="15">
        <v>2200515</v>
      </c>
      <c r="C52" s="74"/>
      <c r="D52" s="17" t="s">
        <v>109</v>
      </c>
      <c r="E52" s="215"/>
      <c r="F52" s="28"/>
      <c r="G52" s="169"/>
      <c r="H52" s="32">
        <f>8185+8185</f>
        <v>16370</v>
      </c>
      <c r="I52" s="44"/>
      <c r="J52" s="45"/>
      <c r="K52" s="44"/>
      <c r="L52" s="45"/>
      <c r="M52" s="44"/>
      <c r="N52" s="45"/>
      <c r="O52" s="44"/>
      <c r="P52" s="45"/>
      <c r="Q52" s="44"/>
      <c r="R52" s="45"/>
      <c r="S52" s="44"/>
      <c r="T52" s="45"/>
      <c r="U52" s="44"/>
    </row>
    <row r="53" spans="1:21" x14ac:dyDescent="0.35">
      <c r="A53" s="13" t="s">
        <v>243</v>
      </c>
      <c r="B53" s="15" t="s">
        <v>138</v>
      </c>
      <c r="C53" s="74"/>
      <c r="D53" s="17" t="s">
        <v>109</v>
      </c>
      <c r="E53" s="215"/>
      <c r="F53" s="28"/>
      <c r="G53" s="44"/>
      <c r="H53" s="45">
        <v>2609.48</v>
      </c>
      <c r="I53" s="44"/>
      <c r="J53" s="45"/>
      <c r="K53" s="44"/>
      <c r="M53" s="44"/>
      <c r="N53" s="45"/>
      <c r="O53" s="44"/>
      <c r="P53" s="45"/>
      <c r="Q53" s="44"/>
      <c r="R53" s="45"/>
      <c r="S53" s="44"/>
      <c r="T53" s="45"/>
      <c r="U53" s="44"/>
    </row>
    <row r="54" spans="1:21" x14ac:dyDescent="0.35">
      <c r="A54" s="13" t="s">
        <v>243</v>
      </c>
      <c r="B54" s="15" t="s">
        <v>147</v>
      </c>
      <c r="C54" s="74"/>
      <c r="D54" s="17" t="s">
        <v>109</v>
      </c>
      <c r="E54" s="215"/>
      <c r="F54" s="28"/>
      <c r="G54" s="44"/>
      <c r="H54" s="32">
        <v>1228</v>
      </c>
      <c r="I54" s="44"/>
      <c r="J54" s="45"/>
      <c r="K54" s="44"/>
      <c r="L54" s="45"/>
      <c r="M54" s="44"/>
      <c r="N54" s="45"/>
      <c r="O54" s="44"/>
      <c r="P54" s="45"/>
      <c r="Q54" s="44"/>
      <c r="R54" s="45"/>
      <c r="S54" s="44"/>
      <c r="T54" s="45"/>
      <c r="U54" s="44"/>
    </row>
    <row r="55" spans="1:21" x14ac:dyDescent="0.35">
      <c r="A55" s="13" t="s">
        <v>243</v>
      </c>
      <c r="B55" s="15" t="s">
        <v>148</v>
      </c>
      <c r="C55" s="74"/>
      <c r="D55" s="17" t="s">
        <v>109</v>
      </c>
      <c r="E55" s="215"/>
      <c r="F55" s="28"/>
      <c r="G55" s="44"/>
      <c r="H55" s="45">
        <v>902.73</v>
      </c>
      <c r="I55" s="44"/>
      <c r="J55" s="45"/>
      <c r="K55" s="44"/>
      <c r="M55" s="44"/>
      <c r="N55" s="45"/>
      <c r="O55" s="44"/>
      <c r="P55" s="45"/>
      <c r="Q55" s="44"/>
      <c r="R55" s="45"/>
      <c r="S55" s="44"/>
      <c r="T55" s="45"/>
      <c r="U55" s="44"/>
    </row>
    <row r="56" spans="1:21" x14ac:dyDescent="0.35">
      <c r="A56" s="13" t="s">
        <v>243</v>
      </c>
      <c r="B56" s="15">
        <v>2200396</v>
      </c>
      <c r="C56" s="74"/>
      <c r="D56" s="17" t="s">
        <v>109</v>
      </c>
      <c r="E56" s="215"/>
      <c r="F56" s="28"/>
      <c r="G56" s="44"/>
      <c r="H56" s="32">
        <v>16298.18</v>
      </c>
      <c r="I56" s="44"/>
      <c r="J56" s="45"/>
      <c r="K56" s="44"/>
      <c r="M56" s="44"/>
      <c r="N56" s="45"/>
      <c r="O56" s="44"/>
      <c r="P56" s="45"/>
      <c r="Q56" s="44"/>
      <c r="R56" s="45"/>
      <c r="S56" s="44"/>
      <c r="T56" s="45"/>
      <c r="U56" s="44"/>
    </row>
    <row r="57" spans="1:21" x14ac:dyDescent="0.35">
      <c r="A57" s="13" t="s">
        <v>243</v>
      </c>
      <c r="B57" s="15">
        <v>2200471</v>
      </c>
      <c r="C57" s="74"/>
      <c r="D57" s="17" t="s">
        <v>109</v>
      </c>
      <c r="E57" s="215"/>
      <c r="F57" s="28"/>
      <c r="G57" s="44"/>
      <c r="H57" s="32">
        <v>2575.8000000000002</v>
      </c>
      <c r="I57" s="44"/>
      <c r="J57" s="45"/>
      <c r="K57" s="44"/>
      <c r="M57" s="44"/>
      <c r="N57" s="45"/>
      <c r="O57" s="44"/>
      <c r="P57" s="45"/>
      <c r="Q57" s="44"/>
      <c r="R57" s="45"/>
      <c r="S57" s="44"/>
      <c r="T57" s="45"/>
      <c r="U57" s="44"/>
    </row>
    <row r="58" spans="1:21" x14ac:dyDescent="0.35">
      <c r="A58" s="13" t="s">
        <v>243</v>
      </c>
      <c r="B58" s="15" t="s">
        <v>152</v>
      </c>
      <c r="C58" s="74"/>
      <c r="D58" s="17" t="s">
        <v>109</v>
      </c>
      <c r="E58" s="215"/>
      <c r="F58" s="28"/>
      <c r="G58" s="44"/>
      <c r="H58" s="32">
        <v>5693.72</v>
      </c>
      <c r="I58" s="44"/>
      <c r="J58" s="45"/>
      <c r="K58" s="44"/>
      <c r="M58" s="44"/>
      <c r="N58" s="45"/>
      <c r="O58" s="44"/>
      <c r="P58" s="45"/>
      <c r="Q58" s="44"/>
      <c r="R58" s="45"/>
      <c r="S58" s="44"/>
      <c r="T58" s="45"/>
      <c r="U58" s="44"/>
    </row>
    <row r="59" spans="1:21" x14ac:dyDescent="0.35">
      <c r="A59" s="13" t="s">
        <v>243</v>
      </c>
      <c r="B59" s="15" t="s">
        <v>156</v>
      </c>
      <c r="C59" s="74"/>
      <c r="D59" s="17" t="s">
        <v>109</v>
      </c>
      <c r="E59" s="215"/>
      <c r="F59" s="28"/>
      <c r="G59" s="44"/>
      <c r="H59" s="32">
        <v>2725.48</v>
      </c>
      <c r="I59" s="44"/>
      <c r="J59" s="45"/>
      <c r="K59" s="44"/>
      <c r="M59" s="44"/>
      <c r="N59" s="45"/>
      <c r="O59" s="44"/>
      <c r="P59" s="45"/>
      <c r="Q59" s="44"/>
      <c r="R59" s="45"/>
      <c r="S59" s="44"/>
      <c r="T59" s="45"/>
      <c r="U59" s="44"/>
    </row>
    <row r="60" spans="1:21" x14ac:dyDescent="0.35">
      <c r="A60" s="13" t="s">
        <v>243</v>
      </c>
      <c r="B60" s="15" t="s">
        <v>157</v>
      </c>
      <c r="C60" s="74"/>
      <c r="D60" s="17" t="s">
        <v>109</v>
      </c>
      <c r="E60" s="215"/>
      <c r="F60" s="28"/>
      <c r="G60" s="44"/>
      <c r="H60" s="32">
        <v>593.64</v>
      </c>
      <c r="I60" s="44"/>
      <c r="J60" s="45"/>
      <c r="K60" s="44"/>
      <c r="M60" s="44"/>
      <c r="N60" s="45"/>
      <c r="O60" s="44"/>
      <c r="P60" s="45"/>
      <c r="Q60" s="44"/>
      <c r="R60" s="45"/>
      <c r="S60" s="44"/>
      <c r="T60" s="45"/>
      <c r="U60" s="44"/>
    </row>
    <row r="61" spans="1:21" x14ac:dyDescent="0.35">
      <c r="A61" s="13" t="s">
        <v>243</v>
      </c>
      <c r="B61" s="15" t="s">
        <v>170</v>
      </c>
      <c r="C61" s="74"/>
      <c r="D61" s="17" t="s">
        <v>109</v>
      </c>
      <c r="E61" s="215"/>
      <c r="F61" s="28"/>
      <c r="G61" s="44"/>
      <c r="H61" s="32">
        <v>91.85</v>
      </c>
      <c r="I61" s="44"/>
      <c r="J61" s="45"/>
      <c r="K61" s="44"/>
      <c r="L61" s="45"/>
      <c r="M61" s="44"/>
      <c r="N61" s="45"/>
      <c r="O61" s="44"/>
      <c r="P61" s="45"/>
      <c r="Q61" s="44"/>
      <c r="R61" s="45"/>
      <c r="S61" s="44"/>
      <c r="T61" s="45"/>
      <c r="U61" s="44"/>
    </row>
    <row r="62" spans="1:21" x14ac:dyDescent="0.35">
      <c r="A62" s="13" t="s">
        <v>243</v>
      </c>
      <c r="B62" s="15" t="s">
        <v>172</v>
      </c>
      <c r="C62" s="74"/>
      <c r="D62" s="17" t="s">
        <v>109</v>
      </c>
      <c r="E62" s="215"/>
      <c r="F62" s="28"/>
      <c r="G62" s="44"/>
      <c r="H62" s="32">
        <v>153.1</v>
      </c>
      <c r="I62" s="44"/>
      <c r="J62" s="45"/>
      <c r="K62" s="44"/>
      <c r="L62" s="45"/>
      <c r="M62" s="44"/>
      <c r="N62" s="45"/>
      <c r="O62" s="44"/>
      <c r="P62" s="45"/>
      <c r="Q62" s="44"/>
      <c r="R62" s="45"/>
      <c r="S62" s="44"/>
      <c r="T62" s="45"/>
      <c r="U62" s="44"/>
    </row>
    <row r="63" spans="1:21" x14ac:dyDescent="0.35">
      <c r="A63" s="13" t="s">
        <v>243</v>
      </c>
      <c r="B63" s="15" t="s">
        <v>201</v>
      </c>
      <c r="C63" s="74"/>
      <c r="D63" s="17" t="s">
        <v>109</v>
      </c>
      <c r="E63" s="215"/>
      <c r="F63" s="28"/>
      <c r="G63" s="44"/>
      <c r="H63" s="32">
        <v>1262.5</v>
      </c>
      <c r="I63" s="44"/>
      <c r="J63" s="45"/>
      <c r="K63" s="44"/>
      <c r="L63" s="45"/>
      <c r="M63" s="44"/>
      <c r="N63" s="45"/>
      <c r="O63" s="44"/>
      <c r="P63" s="45"/>
      <c r="Q63" s="44"/>
      <c r="R63" s="45"/>
      <c r="S63" s="44"/>
      <c r="T63" s="45"/>
      <c r="U63" s="44"/>
    </row>
    <row r="64" spans="1:21" x14ac:dyDescent="0.35">
      <c r="A64" s="13" t="s">
        <v>243</v>
      </c>
      <c r="B64" s="15" t="s">
        <v>220</v>
      </c>
      <c r="C64" s="74"/>
      <c r="D64" s="17" t="s">
        <v>109</v>
      </c>
      <c r="E64" s="215"/>
      <c r="F64" s="28"/>
      <c r="G64" s="44"/>
      <c r="H64" s="32">
        <v>86.47</v>
      </c>
      <c r="I64" s="44"/>
      <c r="J64" s="45"/>
      <c r="K64" s="44"/>
      <c r="L64" s="45"/>
      <c r="M64" s="44"/>
      <c r="N64" s="45"/>
      <c r="O64" s="44"/>
      <c r="P64" s="45"/>
      <c r="Q64" s="44"/>
      <c r="R64" s="45"/>
      <c r="S64" s="44"/>
      <c r="T64" s="45"/>
      <c r="U64" s="44"/>
    </row>
    <row r="65" spans="1:21" x14ac:dyDescent="0.35">
      <c r="A65" s="13" t="s">
        <v>243</v>
      </c>
      <c r="B65" s="15" t="s">
        <v>222</v>
      </c>
      <c r="C65" s="74"/>
      <c r="D65" s="17" t="s">
        <v>109</v>
      </c>
      <c r="E65" s="215"/>
      <c r="F65" s="28"/>
      <c r="G65" s="44"/>
      <c r="H65" s="32">
        <v>79.91</v>
      </c>
      <c r="I65" s="44"/>
      <c r="J65" s="45"/>
      <c r="K65" s="44"/>
      <c r="L65" s="45"/>
      <c r="M65" s="44"/>
      <c r="N65" s="45"/>
      <c r="O65" s="44"/>
      <c r="P65" s="45"/>
      <c r="Q65" s="44"/>
      <c r="R65" s="45"/>
      <c r="S65" s="44"/>
      <c r="T65" s="45"/>
      <c r="U65" s="44"/>
    </row>
    <row r="66" spans="1:21" x14ac:dyDescent="0.35">
      <c r="A66" s="13" t="s">
        <v>243</v>
      </c>
      <c r="B66" s="15" t="s">
        <v>221</v>
      </c>
      <c r="C66" s="74"/>
      <c r="D66" s="17" t="s">
        <v>109</v>
      </c>
      <c r="E66" s="215"/>
      <c r="F66" s="28"/>
      <c r="G66" s="44"/>
      <c r="H66" s="32">
        <v>3845.66</v>
      </c>
      <c r="I66" s="44"/>
      <c r="J66" s="45"/>
      <c r="K66" s="44"/>
      <c r="L66" s="45"/>
      <c r="M66" s="44"/>
      <c r="N66" s="45"/>
      <c r="O66" s="44"/>
      <c r="P66" s="45"/>
      <c r="Q66" s="44"/>
      <c r="R66" s="45"/>
      <c r="S66" s="44"/>
      <c r="T66" s="45"/>
      <c r="U66" s="44"/>
    </row>
    <row r="67" spans="1:21" x14ac:dyDescent="0.35">
      <c r="A67" s="13" t="s">
        <v>243</v>
      </c>
      <c r="B67" s="15" t="s">
        <v>237</v>
      </c>
      <c r="C67" s="74"/>
      <c r="D67" s="17" t="s">
        <v>109</v>
      </c>
      <c r="E67" s="215"/>
      <c r="F67" s="28"/>
      <c r="G67" s="44"/>
      <c r="H67" s="32">
        <v>269.08</v>
      </c>
      <c r="I67" s="44"/>
      <c r="J67" s="45"/>
      <c r="K67" s="44"/>
      <c r="L67" s="45"/>
      <c r="M67" s="44"/>
      <c r="N67" s="45"/>
      <c r="O67" s="44"/>
      <c r="P67" s="45"/>
      <c r="Q67" s="44"/>
      <c r="R67" s="45"/>
      <c r="S67" s="44"/>
      <c r="T67" s="45"/>
      <c r="U67" s="44"/>
    </row>
    <row r="68" spans="1:21" x14ac:dyDescent="0.35">
      <c r="A68" s="13" t="s">
        <v>243</v>
      </c>
      <c r="B68" s="15" t="s">
        <v>261</v>
      </c>
      <c r="C68" s="74"/>
      <c r="D68" s="17" t="s">
        <v>109</v>
      </c>
      <c r="E68" s="215"/>
      <c r="F68" s="28"/>
      <c r="G68" s="44"/>
      <c r="H68" s="32">
        <v>100.64</v>
      </c>
      <c r="I68" s="44"/>
      <c r="J68" s="45"/>
      <c r="K68" s="44"/>
      <c r="L68" s="45"/>
      <c r="M68" s="44"/>
      <c r="N68" s="45"/>
      <c r="O68" s="44"/>
      <c r="P68" s="45"/>
      <c r="Q68" s="44"/>
      <c r="R68" s="45"/>
      <c r="S68" s="44"/>
      <c r="T68" s="45"/>
      <c r="U68" s="44"/>
    </row>
    <row r="69" spans="1:21" x14ac:dyDescent="0.35">
      <c r="A69" s="13" t="s">
        <v>243</v>
      </c>
      <c r="B69" s="15" t="s">
        <v>163</v>
      </c>
      <c r="C69" s="74"/>
      <c r="D69" s="17" t="s">
        <v>109</v>
      </c>
      <c r="E69" s="215"/>
      <c r="F69" s="28"/>
      <c r="G69" s="44"/>
      <c r="H69" s="32">
        <v>3098.06</v>
      </c>
      <c r="I69" s="44"/>
      <c r="J69" s="45"/>
      <c r="K69" s="44"/>
      <c r="L69" s="45"/>
      <c r="M69" s="44"/>
      <c r="N69" s="45"/>
      <c r="O69" s="44"/>
      <c r="P69" s="45"/>
      <c r="Q69" s="44"/>
      <c r="R69" s="45"/>
      <c r="S69" s="44"/>
      <c r="T69" s="45"/>
      <c r="U69" s="44"/>
    </row>
    <row r="70" spans="1:21" x14ac:dyDescent="0.35">
      <c r="A70" s="13" t="s">
        <v>243</v>
      </c>
      <c r="B70" s="15" t="s">
        <v>169</v>
      </c>
      <c r="C70" s="74"/>
      <c r="D70" s="17" t="s">
        <v>109</v>
      </c>
      <c r="E70" s="215"/>
      <c r="F70" s="28"/>
      <c r="G70" s="44"/>
      <c r="H70" s="32">
        <v>517.9</v>
      </c>
      <c r="I70" s="44"/>
      <c r="J70" s="45"/>
      <c r="K70" s="44"/>
      <c r="L70" s="45"/>
      <c r="M70" s="44"/>
      <c r="N70" s="45"/>
      <c r="O70" s="44"/>
      <c r="P70" s="45"/>
      <c r="Q70" s="44"/>
      <c r="R70" s="45"/>
      <c r="S70" s="44"/>
      <c r="T70" s="45"/>
      <c r="U70" s="44"/>
    </row>
    <row r="71" spans="1:21" x14ac:dyDescent="0.35">
      <c r="A71" s="13" t="s">
        <v>243</v>
      </c>
      <c r="B71" s="15" t="s">
        <v>216</v>
      </c>
      <c r="C71" s="74"/>
      <c r="D71" s="17" t="s">
        <v>109</v>
      </c>
      <c r="E71" s="215"/>
      <c r="F71" s="28"/>
      <c r="G71" s="44"/>
      <c r="H71" s="32">
        <v>7614.49</v>
      </c>
      <c r="I71" s="44"/>
      <c r="J71" s="45"/>
      <c r="K71" s="44"/>
      <c r="L71" s="45"/>
      <c r="M71" s="44"/>
      <c r="N71" s="45"/>
      <c r="O71" s="44"/>
      <c r="P71" s="45"/>
      <c r="Q71" s="44"/>
      <c r="R71" s="45"/>
      <c r="S71" s="44"/>
      <c r="T71" s="45"/>
      <c r="U71" s="44"/>
    </row>
    <row r="72" spans="1:21" x14ac:dyDescent="0.35">
      <c r="A72" s="13" t="s">
        <v>243</v>
      </c>
      <c r="B72" s="15" t="s">
        <v>218</v>
      </c>
      <c r="C72" s="74"/>
      <c r="D72" s="17" t="s">
        <v>109</v>
      </c>
      <c r="E72" s="215"/>
      <c r="F72" s="28"/>
      <c r="G72" s="44"/>
      <c r="H72" s="32">
        <v>2344.9699999999998</v>
      </c>
      <c r="I72" s="44"/>
      <c r="J72" s="45"/>
      <c r="K72" s="44"/>
      <c r="L72" s="45"/>
      <c r="M72" s="44"/>
      <c r="N72" s="45"/>
      <c r="O72" s="44"/>
      <c r="P72" s="45"/>
      <c r="Q72" s="44"/>
      <c r="R72" s="45"/>
      <c r="S72" s="44"/>
      <c r="T72" s="45"/>
      <c r="U72" s="44"/>
    </row>
    <row r="73" spans="1:21" x14ac:dyDescent="0.35">
      <c r="A73" s="13" t="s">
        <v>243</v>
      </c>
      <c r="B73" s="15" t="s">
        <v>233</v>
      </c>
      <c r="C73" s="74"/>
      <c r="D73" s="17" t="s">
        <v>109</v>
      </c>
      <c r="E73" s="215"/>
      <c r="F73" s="28"/>
      <c r="G73" s="44"/>
      <c r="H73" s="32">
        <v>155.41</v>
      </c>
      <c r="I73" s="44"/>
      <c r="J73" s="45"/>
      <c r="K73" s="44"/>
      <c r="L73" s="45"/>
      <c r="M73" s="44"/>
      <c r="N73" s="45"/>
      <c r="O73" s="44"/>
      <c r="P73" s="45"/>
      <c r="Q73" s="44"/>
      <c r="R73" s="45"/>
      <c r="S73" s="44"/>
      <c r="T73" s="45"/>
      <c r="U73" s="44"/>
    </row>
    <row r="74" spans="1:21" x14ac:dyDescent="0.35">
      <c r="A74" s="13" t="s">
        <v>243</v>
      </c>
      <c r="B74" s="15">
        <v>2200518</v>
      </c>
      <c r="C74" s="74"/>
      <c r="D74" s="17" t="s">
        <v>109</v>
      </c>
      <c r="E74" s="215"/>
      <c r="F74" s="28"/>
      <c r="G74" s="44"/>
      <c r="H74" s="45">
        <v>0</v>
      </c>
      <c r="I74" s="44"/>
      <c r="K74" s="44"/>
      <c r="L74" s="45"/>
      <c r="M74" s="44"/>
      <c r="N74" s="45"/>
      <c r="O74" s="44"/>
      <c r="P74" s="45"/>
      <c r="Q74" s="44"/>
      <c r="R74" s="45"/>
      <c r="S74" s="44"/>
      <c r="T74" s="45"/>
      <c r="U74" s="44"/>
    </row>
    <row r="75" spans="1:21" x14ac:dyDescent="0.35">
      <c r="A75" s="13" t="s">
        <v>243</v>
      </c>
      <c r="B75" s="15" t="s">
        <v>140</v>
      </c>
      <c r="C75" s="74"/>
      <c r="D75" s="17" t="s">
        <v>109</v>
      </c>
      <c r="E75" s="215"/>
      <c r="F75" s="28"/>
      <c r="G75" s="44"/>
      <c r="H75" s="45">
        <v>0</v>
      </c>
      <c r="I75" s="44"/>
      <c r="K75" s="44"/>
      <c r="L75" s="45"/>
      <c r="M75" s="44"/>
      <c r="N75" s="45"/>
      <c r="O75" s="44"/>
      <c r="P75" s="45"/>
      <c r="Q75" s="44"/>
      <c r="R75" s="45"/>
      <c r="S75" s="44"/>
      <c r="T75" s="45"/>
      <c r="U75" s="44"/>
    </row>
    <row r="76" spans="1:21" x14ac:dyDescent="0.35">
      <c r="A76" s="13" t="s">
        <v>243</v>
      </c>
      <c r="B76" s="15" t="s">
        <v>219</v>
      </c>
      <c r="C76" s="74"/>
      <c r="D76" s="17" t="s">
        <v>109</v>
      </c>
      <c r="E76" s="215"/>
      <c r="F76" s="28"/>
      <c r="G76" s="44"/>
      <c r="H76" s="45">
        <v>11422.63</v>
      </c>
      <c r="I76" s="44"/>
      <c r="K76" s="44"/>
      <c r="L76" s="45"/>
      <c r="M76" s="44"/>
      <c r="N76" s="45"/>
      <c r="O76" s="44"/>
      <c r="P76" s="45"/>
      <c r="Q76" s="44"/>
      <c r="R76" s="45"/>
      <c r="S76" s="44"/>
      <c r="T76" s="45"/>
      <c r="U76" s="44"/>
    </row>
    <row r="77" spans="1:21" x14ac:dyDescent="0.35">
      <c r="A77" s="13" t="s">
        <v>243</v>
      </c>
      <c r="B77" s="15">
        <v>2200549</v>
      </c>
      <c r="C77" s="74"/>
      <c r="D77" s="17" t="s">
        <v>109</v>
      </c>
      <c r="E77" s="215"/>
      <c r="F77" s="28"/>
      <c r="G77" s="44"/>
      <c r="H77" s="45">
        <v>2724</v>
      </c>
      <c r="I77" s="44"/>
      <c r="K77" s="44"/>
      <c r="M77" s="44"/>
      <c r="N77" s="45"/>
      <c r="O77" s="44"/>
      <c r="P77" s="45"/>
      <c r="Q77" s="44"/>
      <c r="R77" s="45"/>
      <c r="S77" s="44"/>
      <c r="T77" s="45"/>
      <c r="U77" s="44"/>
    </row>
    <row r="78" spans="1:21" x14ac:dyDescent="0.35">
      <c r="A78" s="13" t="s">
        <v>243</v>
      </c>
      <c r="B78" s="15">
        <v>2200550</v>
      </c>
      <c r="C78" s="74"/>
      <c r="D78" s="17" t="s">
        <v>109</v>
      </c>
      <c r="E78" s="215"/>
      <c r="F78" s="28"/>
      <c r="G78" s="44"/>
      <c r="H78" s="45">
        <v>5283.23</v>
      </c>
      <c r="I78" s="44"/>
      <c r="K78" s="44"/>
      <c r="M78" s="44"/>
      <c r="N78" s="45"/>
      <c r="O78" s="44"/>
      <c r="P78" s="45"/>
      <c r="Q78" s="44"/>
      <c r="R78" s="45"/>
      <c r="S78" s="44"/>
      <c r="T78" s="45"/>
      <c r="U78" s="44"/>
    </row>
    <row r="79" spans="1:21" x14ac:dyDescent="0.35">
      <c r="A79" s="13" t="s">
        <v>243</v>
      </c>
      <c r="B79" s="15" t="s">
        <v>117</v>
      </c>
      <c r="C79" s="74"/>
      <c r="D79" s="17" t="s">
        <v>109</v>
      </c>
      <c r="E79" s="215"/>
      <c r="F79" s="28"/>
      <c r="G79" s="44"/>
      <c r="H79" s="45">
        <v>7960.06</v>
      </c>
      <c r="I79" s="44"/>
      <c r="K79" s="44"/>
      <c r="L79" s="45"/>
      <c r="M79" s="44"/>
      <c r="N79" s="45"/>
      <c r="O79" s="44"/>
      <c r="P79" s="45"/>
      <c r="Q79" s="44"/>
      <c r="R79" s="45"/>
      <c r="S79" s="44"/>
      <c r="T79" s="45"/>
      <c r="U79" s="44"/>
    </row>
    <row r="80" spans="1:21" x14ac:dyDescent="0.35">
      <c r="A80" s="13" t="s">
        <v>243</v>
      </c>
      <c r="B80" s="15" t="s">
        <v>137</v>
      </c>
      <c r="C80" s="74"/>
      <c r="D80" s="17" t="s">
        <v>114</v>
      </c>
      <c r="E80" s="215"/>
      <c r="F80" s="28"/>
      <c r="G80" s="44"/>
      <c r="H80" s="32"/>
      <c r="I80" s="44"/>
      <c r="J80" s="45">
        <v>9585.48</v>
      </c>
      <c r="K80" s="44"/>
      <c r="M80" s="44"/>
      <c r="N80" s="45"/>
      <c r="O80" s="44"/>
      <c r="P80" s="45"/>
      <c r="Q80" s="44"/>
      <c r="R80" s="45"/>
      <c r="S80" s="44"/>
      <c r="T80" s="45"/>
      <c r="U80" s="44"/>
    </row>
    <row r="81" spans="1:21" x14ac:dyDescent="0.35">
      <c r="A81" s="13" t="s">
        <v>243</v>
      </c>
      <c r="B81" s="15" t="s">
        <v>141</v>
      </c>
      <c r="C81" s="74"/>
      <c r="D81" s="17" t="s">
        <v>114</v>
      </c>
      <c r="E81" s="215"/>
      <c r="F81" s="28"/>
      <c r="G81" s="44"/>
      <c r="H81" s="32"/>
      <c r="I81" s="44"/>
      <c r="J81" s="45">
        <v>12006.45</v>
      </c>
      <c r="K81" s="44"/>
      <c r="M81" s="44"/>
      <c r="N81" s="45"/>
      <c r="O81" s="44"/>
      <c r="P81" s="45"/>
      <c r="Q81" s="44"/>
      <c r="R81" s="45"/>
      <c r="S81" s="44"/>
      <c r="T81" s="45"/>
      <c r="U81" s="44"/>
    </row>
    <row r="82" spans="1:21" x14ac:dyDescent="0.35">
      <c r="A82" s="13" t="s">
        <v>243</v>
      </c>
      <c r="B82" s="15" t="s">
        <v>149</v>
      </c>
      <c r="C82" s="74"/>
      <c r="D82" s="17" t="s">
        <v>114</v>
      </c>
      <c r="E82" s="215"/>
      <c r="F82" s="28"/>
      <c r="G82" s="44"/>
      <c r="H82" s="32"/>
      <c r="I82" s="44"/>
      <c r="J82" s="45">
        <v>1059.25</v>
      </c>
      <c r="K82" s="44"/>
      <c r="L82" s="45"/>
      <c r="M82" s="44"/>
      <c r="O82" s="44"/>
      <c r="P82" s="45"/>
      <c r="Q82" s="44"/>
      <c r="R82" s="45"/>
      <c r="S82" s="44"/>
      <c r="T82" s="45"/>
      <c r="U82" s="44"/>
    </row>
    <row r="83" spans="1:21" x14ac:dyDescent="0.35">
      <c r="A83" s="13" t="s">
        <v>243</v>
      </c>
      <c r="B83" s="15" t="s">
        <v>164</v>
      </c>
      <c r="C83" s="74"/>
      <c r="D83" s="17" t="s">
        <v>114</v>
      </c>
      <c r="E83" s="215"/>
      <c r="F83" s="28"/>
      <c r="G83" s="44"/>
      <c r="H83" s="32"/>
      <c r="I83" s="44"/>
      <c r="J83" s="45">
        <v>1846.75</v>
      </c>
      <c r="K83" s="44"/>
      <c r="M83" s="44"/>
      <c r="N83" s="45"/>
      <c r="O83" s="44"/>
      <c r="P83" s="45"/>
      <c r="Q83" s="44"/>
      <c r="R83" s="45"/>
      <c r="S83" s="44"/>
      <c r="T83" s="45"/>
      <c r="U83" s="44"/>
    </row>
    <row r="84" spans="1:21" x14ac:dyDescent="0.35">
      <c r="A84" s="13" t="s">
        <v>243</v>
      </c>
      <c r="B84" s="15" t="s">
        <v>161</v>
      </c>
      <c r="C84" s="74"/>
      <c r="D84" s="17" t="s">
        <v>114</v>
      </c>
      <c r="E84" s="215"/>
      <c r="F84" s="28"/>
      <c r="G84" s="44"/>
      <c r="H84" s="32"/>
      <c r="I84" s="44"/>
      <c r="J84" s="45">
        <v>36928.910000000003</v>
      </c>
      <c r="K84" s="44"/>
      <c r="M84" s="44"/>
      <c r="N84" s="45"/>
      <c r="O84" s="44"/>
      <c r="P84" s="45"/>
      <c r="Q84" s="44"/>
      <c r="R84" s="45"/>
      <c r="S84" s="44"/>
      <c r="T84" s="45"/>
      <c r="U84" s="44"/>
    </row>
    <row r="85" spans="1:21" x14ac:dyDescent="0.35">
      <c r="A85" s="13" t="s">
        <v>243</v>
      </c>
      <c r="B85" s="15">
        <v>2200372</v>
      </c>
      <c r="C85" s="74"/>
      <c r="D85" s="17" t="s">
        <v>114</v>
      </c>
      <c r="E85" s="215"/>
      <c r="F85" s="28"/>
      <c r="G85" s="44"/>
      <c r="I85" s="44"/>
      <c r="J85" s="32">
        <v>1145.97</v>
      </c>
      <c r="K85" s="44"/>
      <c r="M85" s="44"/>
      <c r="N85" s="45"/>
      <c r="O85" s="44"/>
      <c r="P85" s="45"/>
      <c r="Q85" s="44"/>
      <c r="R85" s="45"/>
      <c r="S85" s="44"/>
      <c r="T85" s="45"/>
      <c r="U85" s="44"/>
    </row>
    <row r="86" spans="1:21" x14ac:dyDescent="0.35">
      <c r="A86" s="13" t="s">
        <v>243</v>
      </c>
      <c r="B86" s="15" t="s">
        <v>262</v>
      </c>
      <c r="C86" s="74"/>
      <c r="D86" s="17" t="s">
        <v>114</v>
      </c>
      <c r="E86" s="215"/>
      <c r="F86" s="28"/>
      <c r="G86" s="44"/>
      <c r="I86" s="44"/>
      <c r="J86" s="32">
        <v>-40732.959999999999</v>
      </c>
      <c r="K86" s="44"/>
      <c r="M86" s="44"/>
      <c r="N86" s="45"/>
      <c r="O86" s="44"/>
      <c r="P86" s="45"/>
      <c r="Q86" s="44"/>
      <c r="R86" s="45"/>
      <c r="S86" s="44"/>
      <c r="T86" s="45"/>
      <c r="U86" s="44"/>
    </row>
    <row r="87" spans="1:21" x14ac:dyDescent="0.35">
      <c r="A87" s="13" t="s">
        <v>243</v>
      </c>
      <c r="B87" s="15" t="s">
        <v>263</v>
      </c>
      <c r="C87" s="74"/>
      <c r="D87" s="17" t="s">
        <v>114</v>
      </c>
      <c r="E87" s="215"/>
      <c r="F87" s="28"/>
      <c r="G87" s="44"/>
      <c r="I87" s="44"/>
      <c r="J87" s="32">
        <v>40679.019999999997</v>
      </c>
      <c r="K87" s="44"/>
      <c r="M87" s="44"/>
      <c r="O87" s="44"/>
      <c r="P87" s="45"/>
      <c r="Q87" s="44"/>
      <c r="R87" s="45"/>
      <c r="S87" s="44"/>
      <c r="T87" s="45"/>
      <c r="U87" s="44"/>
    </row>
    <row r="88" spans="1:21" x14ac:dyDescent="0.35">
      <c r="A88" s="148"/>
      <c r="B88" s="74"/>
      <c r="C88" s="74"/>
      <c r="D88" s="17"/>
      <c r="E88" s="215"/>
      <c r="F88" s="169"/>
      <c r="G88" s="44"/>
      <c r="H88" s="174"/>
      <c r="I88" s="44"/>
      <c r="J88" s="45"/>
      <c r="K88" s="44"/>
      <c r="M88" s="44"/>
      <c r="N88" s="45"/>
      <c r="O88" s="44"/>
      <c r="P88" s="45"/>
      <c r="Q88" s="44"/>
      <c r="R88" s="45"/>
      <c r="S88" s="44"/>
      <c r="T88" s="45"/>
      <c r="U88" s="44"/>
    </row>
    <row r="89" spans="1:21" s="48" customFormat="1" ht="21.65" customHeight="1" x14ac:dyDescent="0.35">
      <c r="A89" s="147" t="s">
        <v>7</v>
      </c>
      <c r="B89" s="119"/>
      <c r="C89" s="119"/>
      <c r="D89" s="120"/>
      <c r="E89" s="220">
        <v>284780</v>
      </c>
      <c r="F89" s="245">
        <f>SUM(F4:F88)</f>
        <v>197727.35000000009</v>
      </c>
      <c r="G89" s="246">
        <f>SUM(G4:G88)</f>
        <v>118478.56000000001</v>
      </c>
      <c r="H89" s="176">
        <f>SUM(H4:H88)</f>
        <v>254268.02000000008</v>
      </c>
      <c r="I89" s="110">
        <f>SUM(I4:I88)</f>
        <v>11248.03</v>
      </c>
      <c r="J89" s="109">
        <f>SUM(J3:J88)</f>
        <v>120000</v>
      </c>
      <c r="K89" s="110">
        <f>SUM(K4:K88)</f>
        <v>0</v>
      </c>
      <c r="L89" s="109">
        <f>SUM(L3:L88)</f>
        <v>120000</v>
      </c>
      <c r="M89" s="110">
        <f>SUM(M4:M88)</f>
        <v>0</v>
      </c>
      <c r="N89" s="109">
        <f>SUM(N3:N88)</f>
        <v>120000</v>
      </c>
      <c r="O89" s="110">
        <f>SUM(O4:O88)</f>
        <v>0</v>
      </c>
      <c r="P89" s="109">
        <f>SUM(P3:P88)</f>
        <v>120000</v>
      </c>
      <c r="Q89" s="110">
        <f>SUM(Q4:Q88)</f>
        <v>0</v>
      </c>
      <c r="R89" s="109">
        <f>SUM(R3:R88)</f>
        <v>120000</v>
      </c>
      <c r="S89" s="110">
        <f>SUM(S4:S88)</f>
        <v>0</v>
      </c>
      <c r="T89" s="109">
        <f>SUM(T3:T88)</f>
        <v>120000</v>
      </c>
      <c r="U89" s="110" cm="1">
        <f t="array" aca="1" ref="U89" ca="1">SUM(U4:U88)*L89:U89</f>
        <v>0</v>
      </c>
    </row>
    <row r="90" spans="1:21" x14ac:dyDescent="0.35">
      <c r="A90" s="150" t="s">
        <v>257</v>
      </c>
      <c r="B90" s="49"/>
      <c r="C90" s="49"/>
      <c r="D90" s="50"/>
      <c r="E90" s="221"/>
      <c r="F90" s="169"/>
      <c r="G90" s="44"/>
      <c r="H90" s="174"/>
      <c r="I90" s="44"/>
      <c r="J90" s="45"/>
      <c r="K90" s="44"/>
      <c r="L90" s="45"/>
      <c r="M90" s="44"/>
      <c r="N90" s="45"/>
      <c r="O90" s="44"/>
      <c r="P90" s="45"/>
      <c r="Q90" s="44"/>
      <c r="R90" s="45"/>
      <c r="S90" s="44"/>
      <c r="T90" s="45"/>
      <c r="U90" s="44"/>
    </row>
    <row r="91" spans="1:21" x14ac:dyDescent="0.35">
      <c r="A91" s="94" t="s">
        <v>8</v>
      </c>
      <c r="B91" s="46"/>
      <c r="C91" s="46"/>
      <c r="D91" s="53"/>
      <c r="E91" s="222">
        <f>3*3773.71</f>
        <v>11321.130000000001</v>
      </c>
      <c r="F91" s="169">
        <f>1517.57+2256.14</f>
        <v>3773.71</v>
      </c>
      <c r="G91" s="44">
        <v>3773</v>
      </c>
      <c r="H91" s="177">
        <v>3773</v>
      </c>
      <c r="I91" s="44"/>
      <c r="J91" s="52">
        <v>3773</v>
      </c>
      <c r="K91" s="44"/>
      <c r="L91" s="52">
        <v>3773</v>
      </c>
      <c r="M91" s="44"/>
      <c r="N91" s="52">
        <v>3773</v>
      </c>
      <c r="O91" s="44"/>
      <c r="P91" s="52">
        <v>3773</v>
      </c>
      <c r="Q91" s="44"/>
      <c r="R91" s="52">
        <v>3773</v>
      </c>
      <c r="S91" s="44"/>
      <c r="T91" s="52">
        <v>3773</v>
      </c>
      <c r="U91" s="44"/>
    </row>
    <row r="92" spans="1:21" x14ac:dyDescent="0.35">
      <c r="A92" s="94" t="s">
        <v>244</v>
      </c>
      <c r="B92" s="252" t="s">
        <v>254</v>
      </c>
      <c r="C92" s="252"/>
      <c r="D92" s="53"/>
      <c r="E92" s="222">
        <f>3*870</f>
        <v>2610</v>
      </c>
      <c r="F92" s="169">
        <v>870</v>
      </c>
      <c r="G92" s="44">
        <v>870</v>
      </c>
      <c r="H92" s="174">
        <v>870</v>
      </c>
      <c r="I92" s="44"/>
      <c r="J92" s="45">
        <v>870</v>
      </c>
      <c r="K92" s="44"/>
      <c r="L92" s="45">
        <v>870</v>
      </c>
      <c r="M92" s="44"/>
      <c r="N92" s="45">
        <v>870</v>
      </c>
      <c r="O92" s="44"/>
      <c r="P92" s="45">
        <v>870</v>
      </c>
      <c r="Q92" s="44"/>
      <c r="R92" s="45">
        <v>870</v>
      </c>
      <c r="S92" s="44"/>
      <c r="T92" s="45">
        <v>870</v>
      </c>
      <c r="U92" s="44"/>
    </row>
    <row r="93" spans="1:21" x14ac:dyDescent="0.35">
      <c r="A93" s="94" t="s">
        <v>139</v>
      </c>
      <c r="B93" s="46" t="s">
        <v>52</v>
      </c>
      <c r="C93" s="46"/>
      <c r="D93" s="53"/>
      <c r="E93" s="222">
        <v>3961.86</v>
      </c>
      <c r="F93" s="169">
        <v>202.36</v>
      </c>
      <c r="G93" s="44">
        <v>647.73</v>
      </c>
      <c r="H93" s="174"/>
      <c r="I93" s="44"/>
      <c r="J93" s="45"/>
      <c r="K93" s="44"/>
      <c r="L93" s="45"/>
      <c r="M93" s="44"/>
      <c r="N93" s="45"/>
      <c r="O93" s="44"/>
      <c r="P93" s="45"/>
      <c r="Q93" s="44"/>
      <c r="R93" s="45"/>
      <c r="S93" s="44"/>
      <c r="T93" s="45"/>
      <c r="U93" s="44"/>
    </row>
    <row r="94" spans="1:21" x14ac:dyDescent="0.35">
      <c r="A94" s="94" t="s">
        <v>139</v>
      </c>
      <c r="B94" s="46" t="s">
        <v>171</v>
      </c>
      <c r="C94" s="46"/>
      <c r="D94" s="53"/>
      <c r="E94" s="222">
        <f>1136.93+741.49</f>
        <v>1878.42</v>
      </c>
      <c r="F94" s="169"/>
      <c r="G94" s="44">
        <v>529.54</v>
      </c>
      <c r="H94" s="174"/>
      <c r="I94" s="44"/>
      <c r="J94" s="45"/>
      <c r="K94" s="44"/>
      <c r="L94" s="45"/>
      <c r="M94" s="44"/>
      <c r="N94" s="45"/>
      <c r="O94" s="44"/>
      <c r="P94" s="45"/>
      <c r="Q94" s="44"/>
      <c r="R94" s="45"/>
      <c r="S94" s="44"/>
      <c r="T94" s="45"/>
      <c r="U94" s="44"/>
    </row>
    <row r="95" spans="1:21" x14ac:dyDescent="0.35">
      <c r="A95" s="94" t="s">
        <v>54</v>
      </c>
      <c r="B95" s="46" t="s">
        <v>53</v>
      </c>
      <c r="C95" s="46"/>
      <c r="D95" s="53"/>
      <c r="E95" s="222"/>
      <c r="F95" s="169"/>
      <c r="G95" s="44">
        <v>90.59</v>
      </c>
      <c r="H95" s="174"/>
      <c r="I95" s="44"/>
      <c r="J95" s="45"/>
      <c r="K95" s="44"/>
      <c r="L95" s="45"/>
      <c r="M95" s="44"/>
      <c r="N95" s="45"/>
      <c r="O95" s="44"/>
      <c r="P95" s="45"/>
      <c r="Q95" s="44"/>
      <c r="R95" s="45"/>
      <c r="S95" s="44"/>
      <c r="T95" s="45"/>
      <c r="U95" s="44"/>
    </row>
    <row r="96" spans="1:21" x14ac:dyDescent="0.35">
      <c r="A96" s="94" t="s">
        <v>265</v>
      </c>
      <c r="B96" s="46"/>
      <c r="C96" s="46"/>
      <c r="D96" s="53"/>
      <c r="E96" s="222"/>
      <c r="F96" s="169"/>
      <c r="G96" s="44"/>
      <c r="H96" s="174"/>
      <c r="I96" s="44"/>
      <c r="J96" s="45"/>
      <c r="K96" s="44"/>
      <c r="L96" s="45"/>
      <c r="M96" s="44"/>
      <c r="N96" s="45"/>
      <c r="O96" s="44"/>
      <c r="P96" s="45"/>
      <c r="Q96" s="44"/>
      <c r="R96" s="45"/>
      <c r="S96" s="44"/>
      <c r="T96" s="45"/>
      <c r="U96" s="44"/>
    </row>
    <row r="97" spans="1:21" s="48" customFormat="1" ht="22" customHeight="1" x14ac:dyDescent="0.35">
      <c r="A97" s="151" t="s">
        <v>7</v>
      </c>
      <c r="B97" s="47"/>
      <c r="C97" s="47"/>
      <c r="D97" s="54"/>
      <c r="E97" s="220">
        <f>SUM(E90:E96)</f>
        <v>19771.410000000003</v>
      </c>
      <c r="F97" s="242">
        <f t="shared" ref="F97:U97" si="0">SUM(F90:F96)</f>
        <v>4846.07</v>
      </c>
      <c r="G97" s="247">
        <f>SUM(G90:G96)</f>
        <v>5910.86</v>
      </c>
      <c r="H97" s="178">
        <f>SUM(H90:H96)</f>
        <v>4643</v>
      </c>
      <c r="I97" s="56">
        <f t="shared" si="0"/>
        <v>0</v>
      </c>
      <c r="J97" s="55">
        <f t="shared" si="0"/>
        <v>4643</v>
      </c>
      <c r="K97" s="56">
        <f t="shared" si="0"/>
        <v>0</v>
      </c>
      <c r="L97" s="55">
        <f t="shared" si="0"/>
        <v>4643</v>
      </c>
      <c r="M97" s="56">
        <f t="shared" si="0"/>
        <v>0</v>
      </c>
      <c r="N97" s="55">
        <f t="shared" si="0"/>
        <v>4643</v>
      </c>
      <c r="O97" s="56">
        <f t="shared" si="0"/>
        <v>0</v>
      </c>
      <c r="P97" s="55">
        <f t="shared" si="0"/>
        <v>4643</v>
      </c>
      <c r="Q97" s="56">
        <f t="shared" si="0"/>
        <v>0</v>
      </c>
      <c r="R97" s="55">
        <f t="shared" si="0"/>
        <v>4643</v>
      </c>
      <c r="S97" s="56">
        <f t="shared" si="0"/>
        <v>0</v>
      </c>
      <c r="T97" s="55">
        <f t="shared" si="0"/>
        <v>4643</v>
      </c>
      <c r="U97" s="56">
        <f t="shared" si="0"/>
        <v>0</v>
      </c>
    </row>
    <row r="98" spans="1:21" ht="23.25" customHeight="1" x14ac:dyDescent="0.35">
      <c r="A98" s="152" t="s">
        <v>9</v>
      </c>
      <c r="B98" s="68"/>
      <c r="C98" s="68"/>
      <c r="D98" s="69"/>
      <c r="E98" s="223">
        <f>E89+E97</f>
        <v>304551.41000000003</v>
      </c>
      <c r="F98" s="244">
        <f t="shared" ref="F98:U98" si="1">F89+F97</f>
        <v>202573.4200000001</v>
      </c>
      <c r="G98" s="248">
        <f>G89+G97</f>
        <v>124389.42000000001</v>
      </c>
      <c r="H98" s="179">
        <f t="shared" si="1"/>
        <v>258911.02000000008</v>
      </c>
      <c r="I98" s="71">
        <f t="shared" si="1"/>
        <v>11248.03</v>
      </c>
      <c r="J98" s="70">
        <f t="shared" si="1"/>
        <v>124643</v>
      </c>
      <c r="K98" s="71">
        <f t="shared" si="1"/>
        <v>0</v>
      </c>
      <c r="L98" s="70">
        <f t="shared" si="1"/>
        <v>124643</v>
      </c>
      <c r="M98" s="71">
        <f t="shared" si="1"/>
        <v>0</v>
      </c>
      <c r="N98" s="70">
        <f t="shared" si="1"/>
        <v>124643</v>
      </c>
      <c r="O98" s="71">
        <f t="shared" si="1"/>
        <v>0</v>
      </c>
      <c r="P98" s="70">
        <f t="shared" si="1"/>
        <v>124643</v>
      </c>
      <c r="Q98" s="71">
        <f t="shared" si="1"/>
        <v>0</v>
      </c>
      <c r="R98" s="70">
        <f t="shared" si="1"/>
        <v>124643</v>
      </c>
      <c r="S98" s="71">
        <f t="shared" si="1"/>
        <v>0</v>
      </c>
      <c r="T98" s="70">
        <f t="shared" si="1"/>
        <v>124643</v>
      </c>
      <c r="U98" s="71">
        <f t="shared" ca="1" si="1"/>
        <v>0</v>
      </c>
    </row>
    <row r="99" spans="1:21" ht="29.25" customHeight="1" x14ac:dyDescent="0.35">
      <c r="A99" s="254" t="s">
        <v>251</v>
      </c>
      <c r="B99" s="255"/>
      <c r="C99" s="255"/>
      <c r="D99" s="255"/>
      <c r="E99" s="224"/>
      <c r="F99" s="202"/>
      <c r="G99" s="91"/>
      <c r="H99" s="180"/>
      <c r="I99" s="91"/>
      <c r="J99" s="90"/>
      <c r="K99" s="91"/>
      <c r="L99" s="90"/>
      <c r="M99" s="91"/>
      <c r="N99" s="90"/>
      <c r="O99" s="91"/>
      <c r="P99" s="90"/>
      <c r="Q99" s="91"/>
      <c r="R99" s="90"/>
      <c r="S99" s="91"/>
      <c r="T99" s="90"/>
      <c r="U99" s="91"/>
    </row>
    <row r="100" spans="1:21" ht="29" x14ac:dyDescent="0.35">
      <c r="A100" s="150" t="s">
        <v>197</v>
      </c>
      <c r="B100" s="78" t="s">
        <v>267</v>
      </c>
      <c r="C100" s="76"/>
      <c r="D100" s="53"/>
      <c r="E100" s="222">
        <f>-E89*0.3</f>
        <v>-85434</v>
      </c>
      <c r="F100" s="222">
        <f>-F89*0.3</f>
        <v>-59318.205000000024</v>
      </c>
      <c r="G100" s="58">
        <f>-(Wareneinsatz!I72)</f>
        <v>-25046.785500000002</v>
      </c>
      <c r="H100" s="181">
        <f>-(Wareneinsatz!K72)</f>
        <v>-53479.936499999996</v>
      </c>
      <c r="I100" s="58"/>
      <c r="J100" s="57"/>
      <c r="K100" s="59"/>
      <c r="L100" s="57"/>
      <c r="M100" s="59"/>
      <c r="N100" s="57"/>
      <c r="O100" s="59"/>
      <c r="P100" s="57"/>
      <c r="Q100" s="59"/>
      <c r="R100" s="57"/>
      <c r="S100" s="59"/>
      <c r="T100" s="57"/>
      <c r="U100" s="59"/>
    </row>
    <row r="101" spans="1:21" ht="29" x14ac:dyDescent="0.35">
      <c r="A101" s="150" t="s">
        <v>196</v>
      </c>
      <c r="B101" s="78" t="s">
        <v>267</v>
      </c>
      <c r="C101" s="76"/>
      <c r="D101" s="53"/>
      <c r="E101" s="222"/>
      <c r="F101" s="158"/>
      <c r="G101" s="58"/>
      <c r="H101" s="181"/>
      <c r="I101" s="58"/>
      <c r="J101" s="60">
        <f>-J89*0.3</f>
        <v>-36000</v>
      </c>
      <c r="K101" s="59"/>
      <c r="L101" s="60">
        <f>-L89*0.3</f>
        <v>-36000</v>
      </c>
      <c r="M101" s="59"/>
      <c r="N101" s="60">
        <f>-N89*0.3</f>
        <v>-36000</v>
      </c>
      <c r="O101" s="59"/>
      <c r="P101" s="60">
        <f>-P3*0.3</f>
        <v>-36000</v>
      </c>
      <c r="Q101" s="59"/>
      <c r="R101" s="60">
        <f>-R3*0.3</f>
        <v>-36000</v>
      </c>
      <c r="S101" s="59"/>
      <c r="T101" s="60">
        <f>-T3*0.3</f>
        <v>-36000</v>
      </c>
      <c r="U101" s="59"/>
    </row>
    <row r="102" spans="1:21" x14ac:dyDescent="0.35">
      <c r="A102" s="94" t="s">
        <v>10</v>
      </c>
      <c r="B102" s="61" t="s">
        <v>49</v>
      </c>
      <c r="C102" s="61"/>
      <c r="D102" s="62"/>
      <c r="E102" s="225">
        <f>-11058.97-E94</f>
        <v>-12937.39</v>
      </c>
      <c r="F102" s="158">
        <f>-3500+-169.54</f>
        <v>-3669.54</v>
      </c>
      <c r="G102" s="58">
        <v>-3500</v>
      </c>
      <c r="H102" s="57">
        <v>-3500</v>
      </c>
      <c r="I102" s="58"/>
      <c r="J102" s="57">
        <v>-3500</v>
      </c>
      <c r="K102" s="58"/>
      <c r="L102" s="57">
        <v>-3500</v>
      </c>
      <c r="M102" s="58"/>
      <c r="N102" s="57">
        <v>-3500</v>
      </c>
      <c r="O102" s="58"/>
      <c r="P102" s="57">
        <v>-3500</v>
      </c>
      <c r="Q102" s="58"/>
      <c r="R102" s="57">
        <v>-3500</v>
      </c>
      <c r="S102" s="58"/>
      <c r="T102" s="57">
        <v>-3500</v>
      </c>
      <c r="U102" s="58"/>
    </row>
    <row r="103" spans="1:21" x14ac:dyDescent="0.35">
      <c r="A103" s="94" t="s">
        <v>47</v>
      </c>
      <c r="B103" s="61" t="s">
        <v>50</v>
      </c>
      <c r="C103" s="61"/>
      <c r="D103" s="62"/>
      <c r="E103" s="225">
        <f>-1919.15-E93</f>
        <v>-5881.01</v>
      </c>
      <c r="F103" s="158">
        <v>-3000</v>
      </c>
      <c r="G103" s="58">
        <v>-3000</v>
      </c>
      <c r="H103" s="181">
        <v>-3000</v>
      </c>
      <c r="I103" s="58"/>
      <c r="J103" s="57">
        <v>-3000</v>
      </c>
      <c r="K103" s="58"/>
      <c r="L103" s="57">
        <v>-3000</v>
      </c>
      <c r="M103" s="58"/>
      <c r="N103" s="57">
        <v>-3000</v>
      </c>
      <c r="O103" s="58"/>
      <c r="P103" s="57">
        <v>-3000</v>
      </c>
      <c r="Q103" s="58"/>
      <c r="R103" s="57">
        <v>-3000</v>
      </c>
      <c r="S103" s="58"/>
      <c r="T103" s="57">
        <v>-3000</v>
      </c>
      <c r="U103" s="58"/>
    </row>
    <row r="104" spans="1:21" x14ac:dyDescent="0.35">
      <c r="A104" s="94" t="s">
        <v>11</v>
      </c>
      <c r="B104" s="61" t="s">
        <v>48</v>
      </c>
      <c r="C104" s="61"/>
      <c r="D104" s="62"/>
      <c r="E104" s="225">
        <v>-25106.34</v>
      </c>
      <c r="F104" s="158">
        <v>-6100</v>
      </c>
      <c r="G104" s="58">
        <f>-6100-243.68</f>
        <v>-6343.68</v>
      </c>
      <c r="H104" s="57">
        <f>-6100+-2000</f>
        <v>-8100</v>
      </c>
      <c r="I104" s="58"/>
      <c r="J104" s="57">
        <f>-6100+-2000</f>
        <v>-8100</v>
      </c>
      <c r="K104" s="58"/>
      <c r="L104" s="57">
        <f>-6100+-2000</f>
        <v>-8100</v>
      </c>
      <c r="M104" s="58"/>
      <c r="N104" s="57">
        <f>-6100+-2000</f>
        <v>-8100</v>
      </c>
      <c r="O104" s="58"/>
      <c r="P104" s="57">
        <f>-6100+-2000</f>
        <v>-8100</v>
      </c>
      <c r="Q104" s="58"/>
      <c r="R104" s="57">
        <f>-6100+-2000</f>
        <v>-8100</v>
      </c>
      <c r="S104" s="58"/>
      <c r="T104" s="57">
        <f>-6100+-2000</f>
        <v>-8100</v>
      </c>
      <c r="U104" s="58"/>
    </row>
    <row r="105" spans="1:21" ht="29" x14ac:dyDescent="0.35">
      <c r="A105" s="94" t="s">
        <v>64</v>
      </c>
      <c r="B105" s="79" t="s">
        <v>116</v>
      </c>
      <c r="C105" s="79"/>
      <c r="D105" s="85"/>
      <c r="E105" s="222">
        <v>-2195.85</v>
      </c>
      <c r="F105" s="158">
        <v>-1066.6199999999999</v>
      </c>
      <c r="G105" s="58">
        <v>-927.98</v>
      </c>
      <c r="H105" s="181">
        <v>-800</v>
      </c>
      <c r="I105" s="58"/>
      <c r="J105" s="57">
        <v>-800</v>
      </c>
      <c r="K105" s="58"/>
      <c r="L105" s="57">
        <v>-800</v>
      </c>
      <c r="M105" s="58"/>
      <c r="N105" s="57">
        <v>-800</v>
      </c>
      <c r="O105" s="58"/>
      <c r="P105" s="57">
        <v>-800</v>
      </c>
      <c r="Q105" s="58"/>
      <c r="R105" s="57">
        <v>-800</v>
      </c>
      <c r="S105" s="58"/>
      <c r="T105" s="57">
        <v>-800</v>
      </c>
      <c r="U105" s="58"/>
    </row>
    <row r="106" spans="1:21" s="48" customFormat="1" ht="23.5" customHeight="1" x14ac:dyDescent="0.35">
      <c r="A106" s="153" t="s">
        <v>43</v>
      </c>
      <c r="B106" s="65"/>
      <c r="C106" s="65"/>
      <c r="D106" s="66"/>
      <c r="E106" s="220">
        <f>SUM(E100:E105)</f>
        <v>-131554.59</v>
      </c>
      <c r="F106" s="243">
        <f t="shared" ref="F106:U106" si="2">SUM(F100:F105)</f>
        <v>-73154.36500000002</v>
      </c>
      <c r="G106" s="236">
        <f>SUM(G100:G105)</f>
        <v>-38818.445500000009</v>
      </c>
      <c r="H106" s="182">
        <f>SUM(H100:H105)</f>
        <v>-68879.936499999996</v>
      </c>
      <c r="I106" s="92">
        <f t="shared" si="2"/>
        <v>0</v>
      </c>
      <c r="J106" s="67">
        <f t="shared" si="2"/>
        <v>-51400</v>
      </c>
      <c r="K106" s="92">
        <f t="shared" si="2"/>
        <v>0</v>
      </c>
      <c r="L106" s="67">
        <f t="shared" si="2"/>
        <v>-51400</v>
      </c>
      <c r="M106" s="92">
        <f t="shared" si="2"/>
        <v>0</v>
      </c>
      <c r="N106" s="67">
        <f t="shared" si="2"/>
        <v>-51400</v>
      </c>
      <c r="O106" s="92">
        <f t="shared" si="2"/>
        <v>0</v>
      </c>
      <c r="P106" s="67">
        <f t="shared" si="2"/>
        <v>-51400</v>
      </c>
      <c r="Q106" s="92">
        <f t="shared" si="2"/>
        <v>0</v>
      </c>
      <c r="R106" s="67">
        <f t="shared" si="2"/>
        <v>-51400</v>
      </c>
      <c r="S106" s="92">
        <f t="shared" si="2"/>
        <v>0</v>
      </c>
      <c r="T106" s="67">
        <f>SUM(T100:T105)</f>
        <v>-51400</v>
      </c>
      <c r="U106" s="92">
        <f t="shared" si="2"/>
        <v>0</v>
      </c>
    </row>
    <row r="107" spans="1:21" x14ac:dyDescent="0.35">
      <c r="A107" s="154" t="s">
        <v>198</v>
      </c>
      <c r="B107" s="130"/>
      <c r="C107" s="130"/>
      <c r="D107" s="131"/>
      <c r="E107" s="227"/>
      <c r="F107" s="204"/>
      <c r="G107" s="133"/>
      <c r="H107" s="183"/>
      <c r="I107" s="133"/>
      <c r="J107" s="132"/>
      <c r="K107" s="133"/>
      <c r="L107" s="132"/>
      <c r="M107" s="133"/>
      <c r="N107" s="132"/>
      <c r="O107" s="133"/>
      <c r="P107" s="132"/>
      <c r="Q107" s="133"/>
      <c r="R107" s="132"/>
      <c r="S107" s="133"/>
      <c r="T107" s="132"/>
      <c r="U107" s="133"/>
    </row>
    <row r="108" spans="1:21" x14ac:dyDescent="0.35">
      <c r="A108" s="94" t="s">
        <v>245</v>
      </c>
      <c r="B108" s="61"/>
      <c r="C108" s="61"/>
      <c r="D108" s="62"/>
      <c r="E108" s="225"/>
      <c r="F108" s="158"/>
      <c r="G108" s="58">
        <v>-26816</v>
      </c>
      <c r="H108" s="181"/>
      <c r="I108" s="58"/>
      <c r="J108" s="57"/>
      <c r="K108" s="58"/>
      <c r="L108" s="57"/>
      <c r="M108" s="58"/>
      <c r="N108" s="57"/>
      <c r="O108" s="58"/>
      <c r="P108" s="57"/>
      <c r="Q108" s="58"/>
      <c r="R108" s="57">
        <v>-24000</v>
      </c>
      <c r="S108" s="58"/>
      <c r="T108" s="57"/>
      <c r="U108" s="58"/>
    </row>
    <row r="109" spans="1:21" x14ac:dyDescent="0.35">
      <c r="A109" s="94" t="s">
        <v>76</v>
      </c>
      <c r="B109" s="61"/>
      <c r="C109" s="61"/>
      <c r="D109" s="62"/>
      <c r="E109" s="225"/>
      <c r="F109" s="158"/>
      <c r="G109" s="58">
        <v>-6825</v>
      </c>
      <c r="H109" s="181">
        <v>-12286</v>
      </c>
      <c r="I109" s="58"/>
      <c r="J109" s="57"/>
      <c r="K109" s="58"/>
      <c r="L109" s="57"/>
      <c r="M109" s="58"/>
      <c r="N109" s="57"/>
      <c r="O109" s="58"/>
      <c r="P109" s="57"/>
      <c r="Q109" s="58"/>
      <c r="R109" s="57"/>
      <c r="S109" s="58"/>
      <c r="T109" s="57"/>
      <c r="U109" s="58"/>
    </row>
    <row r="110" spans="1:21" x14ac:dyDescent="0.35">
      <c r="A110" s="94" t="s">
        <v>77</v>
      </c>
      <c r="B110" s="61"/>
      <c r="C110" s="61"/>
      <c r="D110" s="62"/>
      <c r="E110" s="225"/>
      <c r="F110" s="158"/>
      <c r="G110" s="58"/>
      <c r="H110" s="181">
        <f>-2156+-2156+-3136</f>
        <v>-7448</v>
      </c>
      <c r="I110" s="58"/>
      <c r="J110" s="57"/>
      <c r="K110" s="58"/>
      <c r="L110" s="57"/>
      <c r="M110" s="58"/>
      <c r="N110" s="57"/>
      <c r="O110" s="58"/>
      <c r="P110" s="57"/>
      <c r="Q110" s="58"/>
      <c r="R110" s="57"/>
      <c r="S110" s="58"/>
      <c r="T110" s="57"/>
      <c r="U110" s="58"/>
    </row>
    <row r="111" spans="1:21" x14ac:dyDescent="0.35">
      <c r="A111" s="94" t="s">
        <v>75</v>
      </c>
      <c r="B111" s="61"/>
      <c r="C111" s="61"/>
      <c r="D111" s="62"/>
      <c r="E111" s="225"/>
      <c r="F111" s="158"/>
      <c r="G111" s="58"/>
      <c r="H111" s="181"/>
      <c r="I111" s="58"/>
      <c r="J111" s="57"/>
      <c r="K111" s="58"/>
      <c r="L111" s="57"/>
      <c r="M111" s="58"/>
      <c r="N111" s="57"/>
      <c r="O111" s="58"/>
      <c r="P111" s="57"/>
      <c r="Q111" s="58"/>
      <c r="R111" s="57"/>
      <c r="S111" s="58"/>
      <c r="T111" s="57"/>
      <c r="U111" s="58"/>
    </row>
    <row r="112" spans="1:21" x14ac:dyDescent="0.35">
      <c r="A112" s="94" t="s">
        <v>78</v>
      </c>
      <c r="B112" s="61"/>
      <c r="C112" s="61"/>
      <c r="D112" s="62"/>
      <c r="E112" s="225"/>
      <c r="F112" s="158"/>
      <c r="G112" s="58"/>
      <c r="H112" s="181"/>
      <c r="I112" s="58"/>
      <c r="J112" s="57"/>
      <c r="K112" s="58"/>
      <c r="L112" s="57"/>
      <c r="M112" s="58"/>
      <c r="N112" s="57"/>
      <c r="O112" s="58"/>
      <c r="P112" s="57"/>
      <c r="Q112" s="58"/>
      <c r="R112" s="57"/>
      <c r="S112" s="58"/>
      <c r="T112" s="57"/>
      <c r="U112" s="58"/>
    </row>
    <row r="113" spans="1:21" x14ac:dyDescent="0.35">
      <c r="A113" s="94" t="s">
        <v>13</v>
      </c>
      <c r="B113" s="61"/>
      <c r="C113" s="61"/>
      <c r="D113" s="62"/>
      <c r="E113" s="225"/>
      <c r="F113" s="158">
        <f>-372.95+-620.31</f>
        <v>-993.26</v>
      </c>
      <c r="G113" s="58"/>
      <c r="H113" s="181">
        <v>-600</v>
      </c>
      <c r="I113" s="58"/>
      <c r="J113" s="57">
        <v>-600</v>
      </c>
      <c r="K113" s="58"/>
      <c r="L113" s="57">
        <v>-600</v>
      </c>
      <c r="M113" s="58"/>
      <c r="N113" s="57">
        <v>-600</v>
      </c>
      <c r="O113" s="58"/>
      <c r="P113" s="57">
        <v>-600</v>
      </c>
      <c r="Q113" s="58"/>
      <c r="R113" s="57">
        <v>-600</v>
      </c>
      <c r="S113" s="58"/>
      <c r="T113" s="57">
        <v>-600</v>
      </c>
      <c r="U113" s="58"/>
    </row>
    <row r="114" spans="1:21" x14ac:dyDescent="0.35">
      <c r="A114" s="94" t="s">
        <v>12</v>
      </c>
      <c r="B114" s="61"/>
      <c r="C114" s="61"/>
      <c r="D114" s="62"/>
      <c r="E114" s="225"/>
      <c r="F114" s="158">
        <f>-620.31+-613.42</f>
        <v>-1233.73</v>
      </c>
      <c r="G114" s="58">
        <v>-1760.72</v>
      </c>
      <c r="H114" s="181">
        <v>-1190</v>
      </c>
      <c r="I114" s="58"/>
      <c r="J114" s="57">
        <v>-1190</v>
      </c>
      <c r="K114" s="58"/>
      <c r="L114" s="57">
        <v>-1190</v>
      </c>
      <c r="M114" s="58"/>
      <c r="N114" s="57">
        <v>-1190</v>
      </c>
      <c r="O114" s="58"/>
      <c r="P114" s="57">
        <v>-1190</v>
      </c>
      <c r="Q114" s="58"/>
      <c r="R114" s="57">
        <v>-1190</v>
      </c>
      <c r="S114" s="58"/>
      <c r="T114" s="57">
        <v>-1190</v>
      </c>
      <c r="U114" s="58"/>
    </row>
    <row r="115" spans="1:21" x14ac:dyDescent="0.35">
      <c r="A115" s="94" t="s">
        <v>122</v>
      </c>
      <c r="B115" s="61"/>
      <c r="C115" s="61"/>
      <c r="D115" s="62"/>
      <c r="E115" s="225"/>
      <c r="F115" s="158"/>
      <c r="G115" s="58"/>
      <c r="H115" s="181"/>
      <c r="I115" s="58"/>
      <c r="J115" s="57"/>
      <c r="K115" s="58"/>
      <c r="L115" s="57"/>
      <c r="M115" s="58"/>
      <c r="N115" s="57"/>
      <c r="O115" s="58"/>
      <c r="P115" s="57">
        <v>-300</v>
      </c>
      <c r="Q115" s="58"/>
      <c r="R115" s="57"/>
      <c r="S115" s="58"/>
      <c r="T115" s="57"/>
      <c r="U115" s="58"/>
    </row>
    <row r="116" spans="1:21" x14ac:dyDescent="0.35">
      <c r="A116" s="94" t="s">
        <v>123</v>
      </c>
      <c r="B116" s="61"/>
      <c r="C116" s="61"/>
      <c r="D116" s="62"/>
      <c r="E116" s="225"/>
      <c r="F116" s="158"/>
      <c r="G116" s="58"/>
      <c r="H116" s="181"/>
      <c r="I116" s="58"/>
      <c r="J116" s="57"/>
      <c r="K116" s="58"/>
      <c r="L116" s="57"/>
      <c r="M116" s="58"/>
      <c r="N116" s="57">
        <v>-1000</v>
      </c>
      <c r="O116" s="58"/>
      <c r="P116" s="57"/>
      <c r="Q116" s="58"/>
      <c r="R116" s="57"/>
      <c r="S116" s="58"/>
      <c r="T116" s="57"/>
      <c r="U116" s="58"/>
    </row>
    <row r="117" spans="1:21" x14ac:dyDescent="0.35">
      <c r="A117" s="94" t="s">
        <v>124</v>
      </c>
      <c r="B117" s="61"/>
      <c r="C117" s="61"/>
      <c r="D117" s="62"/>
      <c r="E117" s="225"/>
      <c r="F117" s="158">
        <v>-509.72</v>
      </c>
      <c r="G117" s="58">
        <v>-119</v>
      </c>
      <c r="H117" s="181"/>
      <c r="I117" s="58"/>
      <c r="J117" s="57">
        <v>-250</v>
      </c>
      <c r="K117" s="58"/>
      <c r="L117" s="57"/>
      <c r="M117" s="58"/>
      <c r="N117" s="57">
        <v>-250</v>
      </c>
      <c r="O117" s="58"/>
      <c r="P117" s="57"/>
      <c r="Q117" s="58"/>
      <c r="R117" s="57">
        <v>-250</v>
      </c>
      <c r="S117" s="58"/>
      <c r="T117" s="57"/>
      <c r="U117" s="58"/>
    </row>
    <row r="118" spans="1:21" x14ac:dyDescent="0.35">
      <c r="A118" s="94" t="s">
        <v>125</v>
      </c>
      <c r="B118" s="61"/>
      <c r="C118" s="61"/>
      <c r="D118" s="62"/>
      <c r="E118" s="225"/>
      <c r="F118" s="158"/>
      <c r="G118" s="58"/>
      <c r="H118" s="181">
        <v>-500</v>
      </c>
      <c r="I118" s="58"/>
      <c r="J118" s="57"/>
      <c r="K118" s="58"/>
      <c r="L118" s="57"/>
      <c r="M118" s="58"/>
      <c r="N118" s="57"/>
      <c r="O118" s="58"/>
      <c r="P118" s="57">
        <v>-500</v>
      </c>
      <c r="Q118" s="58"/>
      <c r="R118" s="57"/>
      <c r="S118" s="58"/>
      <c r="T118" s="57"/>
      <c r="U118" s="58"/>
    </row>
    <row r="119" spans="1:21" x14ac:dyDescent="0.35">
      <c r="A119" s="94" t="s">
        <v>126</v>
      </c>
      <c r="B119" s="61"/>
      <c r="C119" s="61"/>
      <c r="D119" s="62"/>
      <c r="E119" s="225"/>
      <c r="F119" s="158"/>
      <c r="G119" s="58"/>
      <c r="H119" s="181"/>
      <c r="I119" s="58"/>
      <c r="J119" s="57"/>
      <c r="K119" s="58"/>
      <c r="L119" s="57"/>
      <c r="M119" s="58"/>
      <c r="N119" s="57"/>
      <c r="O119" s="58"/>
      <c r="P119" s="57"/>
      <c r="Q119" s="58"/>
      <c r="R119" s="57"/>
      <c r="S119" s="58"/>
      <c r="T119" s="57"/>
      <c r="U119" s="58"/>
    </row>
    <row r="120" spans="1:21" x14ac:dyDescent="0.35">
      <c r="A120" s="94" t="s">
        <v>127</v>
      </c>
      <c r="B120" s="61"/>
      <c r="C120" s="61"/>
      <c r="D120" s="62"/>
      <c r="E120" s="225"/>
      <c r="F120" s="158"/>
      <c r="G120" s="58"/>
      <c r="H120" s="181"/>
      <c r="I120" s="58"/>
      <c r="J120" s="57">
        <v>-100</v>
      </c>
      <c r="K120" s="58"/>
      <c r="L120" s="57"/>
      <c r="M120" s="58"/>
      <c r="N120" s="57"/>
      <c r="O120" s="58"/>
      <c r="P120" s="57">
        <v>-100</v>
      </c>
      <c r="Q120" s="58"/>
      <c r="R120" s="57"/>
      <c r="S120" s="58"/>
      <c r="T120" s="57"/>
      <c r="U120" s="58"/>
    </row>
    <row r="121" spans="1:21" x14ac:dyDescent="0.35">
      <c r="A121" s="94" t="s">
        <v>136</v>
      </c>
      <c r="B121" s="61"/>
      <c r="C121" s="61"/>
      <c r="D121" s="62"/>
      <c r="E121" s="225"/>
      <c r="F121" s="158"/>
      <c r="G121" s="58">
        <v>-163.91</v>
      </c>
      <c r="H121" s="181"/>
      <c r="I121" s="58"/>
      <c r="J121" s="57">
        <v>-100</v>
      </c>
      <c r="K121" s="58"/>
      <c r="L121" s="57"/>
      <c r="M121" s="58"/>
      <c r="N121" s="57"/>
      <c r="O121" s="58"/>
      <c r="P121" s="57"/>
      <c r="Q121" s="58"/>
      <c r="R121" s="57">
        <v>-100</v>
      </c>
      <c r="S121" s="58"/>
      <c r="T121" s="57"/>
      <c r="U121" s="58"/>
    </row>
    <row r="122" spans="1:21" x14ac:dyDescent="0.35">
      <c r="A122" s="94" t="s">
        <v>132</v>
      </c>
      <c r="B122" s="61"/>
      <c r="C122" s="61"/>
      <c r="D122" s="62"/>
      <c r="E122" s="225"/>
      <c r="F122" s="158"/>
      <c r="G122" s="58">
        <v>-1800</v>
      </c>
      <c r="H122" s="181">
        <v>-2700</v>
      </c>
      <c r="I122" s="58"/>
      <c r="J122" s="57"/>
      <c r="K122" s="58"/>
      <c r="L122" s="57">
        <v>-900</v>
      </c>
      <c r="M122" s="58"/>
      <c r="N122" s="57"/>
      <c r="O122" s="58"/>
      <c r="P122" s="57">
        <v>-900</v>
      </c>
      <c r="Q122" s="58"/>
      <c r="R122" s="57"/>
      <c r="S122" s="58"/>
      <c r="T122" s="57">
        <v>-900</v>
      </c>
      <c r="U122" s="58"/>
    </row>
    <row r="123" spans="1:21" x14ac:dyDescent="0.35">
      <c r="A123" s="94" t="s">
        <v>134</v>
      </c>
      <c r="B123" s="61"/>
      <c r="C123" s="61"/>
      <c r="D123" s="62"/>
      <c r="E123" s="225"/>
      <c r="F123" s="158"/>
      <c r="G123" s="58"/>
      <c r="H123" s="181"/>
      <c r="I123" s="58"/>
      <c r="J123" s="57"/>
      <c r="K123" s="58"/>
      <c r="L123" s="57"/>
      <c r="M123" s="58"/>
      <c r="N123" s="57"/>
      <c r="O123" s="58"/>
      <c r="P123" s="57"/>
      <c r="Q123" s="58"/>
      <c r="R123" s="57"/>
      <c r="S123" s="58"/>
      <c r="T123" s="57"/>
      <c r="U123" s="58"/>
    </row>
    <row r="124" spans="1:21" x14ac:dyDescent="0.35">
      <c r="A124" s="94" t="s">
        <v>133</v>
      </c>
      <c r="B124" s="61"/>
      <c r="C124" s="61"/>
      <c r="D124" s="62"/>
      <c r="E124" s="225"/>
      <c r="F124" s="158"/>
      <c r="G124" s="58"/>
      <c r="H124" s="181"/>
      <c r="I124" s="58"/>
      <c r="J124" s="57"/>
      <c r="K124" s="58"/>
      <c r="L124" s="57"/>
      <c r="M124" s="58"/>
      <c r="N124" s="57"/>
      <c r="O124" s="58"/>
      <c r="P124" s="57"/>
      <c r="Q124" s="58"/>
      <c r="R124" s="57"/>
      <c r="S124" s="58"/>
      <c r="T124" s="57"/>
      <c r="U124" s="58"/>
    </row>
    <row r="125" spans="1:21" x14ac:dyDescent="0.35">
      <c r="A125" s="94" t="s">
        <v>245</v>
      </c>
      <c r="B125" s="80" t="s">
        <v>71</v>
      </c>
      <c r="C125" s="80"/>
      <c r="D125" s="62"/>
      <c r="E125" s="225"/>
      <c r="F125" s="158">
        <f>-5842.29+-3409.12</f>
        <v>-9251.41</v>
      </c>
      <c r="G125" s="58">
        <v>-4759</v>
      </c>
      <c r="H125" s="181">
        <f>-5000+-8500</f>
        <v>-13500</v>
      </c>
      <c r="I125" s="58"/>
      <c r="J125" s="57">
        <v>-4500</v>
      </c>
      <c r="K125" s="58"/>
      <c r="L125" s="57"/>
      <c r="M125" s="58"/>
      <c r="N125" s="57"/>
      <c r="O125" s="58"/>
      <c r="P125" s="57"/>
      <c r="Q125" s="58"/>
      <c r="R125" s="57"/>
      <c r="S125" s="58"/>
      <c r="T125" s="57"/>
      <c r="U125" s="58"/>
    </row>
    <row r="126" spans="1:21" x14ac:dyDescent="0.35">
      <c r="A126" s="94" t="s">
        <v>245</v>
      </c>
      <c r="B126" s="80" t="s">
        <v>74</v>
      </c>
      <c r="C126" s="80"/>
      <c r="D126" s="62"/>
      <c r="E126" s="225"/>
      <c r="F126" s="158"/>
      <c r="G126" s="58"/>
      <c r="H126" s="174" t="s">
        <v>89</v>
      </c>
      <c r="I126" s="58"/>
      <c r="J126" s="45" t="s">
        <v>89</v>
      </c>
      <c r="K126" s="58"/>
      <c r="L126" s="45" t="s">
        <v>89</v>
      </c>
      <c r="M126" s="58"/>
      <c r="N126" s="45" t="s">
        <v>89</v>
      </c>
      <c r="O126" s="58"/>
      <c r="P126" s="45" t="s">
        <v>89</v>
      </c>
      <c r="Q126" s="58"/>
      <c r="R126" s="45" t="s">
        <v>89</v>
      </c>
      <c r="S126" s="58"/>
      <c r="T126" s="45" t="s">
        <v>89</v>
      </c>
      <c r="U126" s="58"/>
    </row>
    <row r="127" spans="1:21" x14ac:dyDescent="0.35">
      <c r="A127" s="94" t="s">
        <v>245</v>
      </c>
      <c r="B127" s="80" t="s">
        <v>72</v>
      </c>
      <c r="C127" s="80"/>
      <c r="D127" s="62"/>
      <c r="E127" s="225"/>
      <c r="F127" s="158">
        <v>-207.88</v>
      </c>
      <c r="G127" s="58">
        <v>-94.2</v>
      </c>
      <c r="H127" s="181">
        <v>-250</v>
      </c>
      <c r="I127" s="58"/>
      <c r="J127" s="57">
        <v>-250</v>
      </c>
      <c r="K127" s="58"/>
      <c r="L127" s="57">
        <v>-250</v>
      </c>
      <c r="M127" s="58"/>
      <c r="N127" s="57">
        <v>-250</v>
      </c>
      <c r="O127" s="58"/>
      <c r="P127" s="57">
        <v>-250</v>
      </c>
      <c r="Q127" s="58"/>
      <c r="R127" s="57">
        <v>-250</v>
      </c>
      <c r="S127" s="58"/>
      <c r="T127" s="57">
        <v>-250</v>
      </c>
      <c r="U127" s="58"/>
    </row>
    <row r="128" spans="1:21" x14ac:dyDescent="0.35">
      <c r="A128" s="94" t="s">
        <v>245</v>
      </c>
      <c r="B128" s="80" t="s">
        <v>73</v>
      </c>
      <c r="C128" s="80"/>
      <c r="D128" s="62"/>
      <c r="E128" s="225"/>
      <c r="F128" s="158"/>
      <c r="G128" s="58"/>
      <c r="H128" s="181">
        <v>-850</v>
      </c>
      <c r="I128" s="58"/>
      <c r="J128" s="57"/>
      <c r="K128" s="58"/>
      <c r="L128" s="57"/>
      <c r="M128" s="58"/>
      <c r="N128" s="57"/>
      <c r="O128" s="58"/>
      <c r="P128" s="57">
        <v>-850</v>
      </c>
      <c r="Q128" s="58"/>
      <c r="R128" s="57"/>
      <c r="S128" s="58"/>
      <c r="T128" s="57"/>
      <c r="U128" s="58"/>
    </row>
    <row r="129" spans="1:21" x14ac:dyDescent="0.35">
      <c r="A129" s="94" t="s">
        <v>245</v>
      </c>
      <c r="B129" s="80" t="s">
        <v>79</v>
      </c>
      <c r="C129" s="80"/>
      <c r="D129" s="62"/>
      <c r="E129" s="225"/>
      <c r="F129" s="158"/>
      <c r="G129" s="58"/>
      <c r="H129" s="181"/>
      <c r="I129" s="58"/>
      <c r="J129" s="57">
        <v>-4900</v>
      </c>
      <c r="K129" s="58"/>
      <c r="L129" s="57"/>
      <c r="M129" s="58"/>
      <c r="N129" s="57"/>
      <c r="O129" s="58"/>
      <c r="P129" s="57"/>
      <c r="Q129" s="58"/>
      <c r="R129" s="57"/>
      <c r="S129" s="58"/>
      <c r="T129" s="57"/>
      <c r="U129" s="58"/>
    </row>
    <row r="130" spans="1:21" x14ac:dyDescent="0.35">
      <c r="A130" s="121" t="s">
        <v>245</v>
      </c>
      <c r="B130" s="134" t="s">
        <v>121</v>
      </c>
      <c r="C130" s="134"/>
      <c r="D130" s="135"/>
      <c r="E130" s="228"/>
      <c r="F130" s="205">
        <v>-273.82</v>
      </c>
      <c r="G130" s="129"/>
      <c r="H130" s="184"/>
      <c r="I130" s="129"/>
      <c r="J130" s="136"/>
      <c r="K130" s="129"/>
      <c r="L130" s="136"/>
      <c r="M130" s="129"/>
      <c r="N130" s="136"/>
      <c r="O130" s="129"/>
      <c r="P130" s="136"/>
      <c r="Q130" s="129"/>
      <c r="R130" s="136"/>
      <c r="S130" s="129"/>
      <c r="T130" s="136"/>
      <c r="U130" s="129"/>
    </row>
    <row r="131" spans="1:21" ht="29.15" customHeight="1" x14ac:dyDescent="0.35">
      <c r="A131" s="153" t="s">
        <v>266</v>
      </c>
      <c r="B131" s="65"/>
      <c r="C131" s="65"/>
      <c r="D131" s="66"/>
      <c r="E131" s="92"/>
      <c r="F131" s="203"/>
      <c r="G131" s="92"/>
      <c r="H131" s="182"/>
      <c r="I131" s="92"/>
      <c r="J131" s="67"/>
      <c r="K131" s="92"/>
      <c r="L131" s="67"/>
      <c r="M131" s="92"/>
      <c r="N131" s="67"/>
      <c r="O131" s="92"/>
      <c r="P131" s="67"/>
      <c r="Q131" s="92"/>
      <c r="R131" s="67"/>
      <c r="S131" s="92"/>
      <c r="T131" s="67"/>
      <c r="U131" s="92"/>
    </row>
    <row r="132" spans="1:21" ht="20.5" customHeight="1" x14ac:dyDescent="0.35">
      <c r="A132" s="153" t="s">
        <v>256</v>
      </c>
      <c r="B132" s="123"/>
      <c r="C132" s="123"/>
      <c r="D132" s="124"/>
      <c r="E132" s="229"/>
      <c r="F132" s="202"/>
      <c r="G132" s="126"/>
      <c r="H132" s="185"/>
      <c r="I132" s="126"/>
      <c r="J132" s="125"/>
      <c r="K132" s="126"/>
      <c r="L132" s="125"/>
      <c r="M132" s="126"/>
      <c r="N132" s="125"/>
      <c r="O132" s="126"/>
      <c r="P132" s="125"/>
      <c r="Q132" s="126"/>
      <c r="R132" s="125"/>
      <c r="S132" s="126"/>
      <c r="T132" s="125"/>
      <c r="U132" s="126"/>
    </row>
    <row r="133" spans="1:21" x14ac:dyDescent="0.35">
      <c r="A133" s="94" t="s">
        <v>44</v>
      </c>
      <c r="B133" t="s">
        <v>45</v>
      </c>
      <c r="D133" s="85"/>
      <c r="E133" s="230">
        <v>-1069.3399999999999</v>
      </c>
      <c r="F133" s="158">
        <v>-356.45</v>
      </c>
      <c r="G133" s="158">
        <v>-356.45</v>
      </c>
      <c r="H133" s="181">
        <v>-356.45</v>
      </c>
      <c r="I133" s="58"/>
      <c r="J133" s="181">
        <v>-356.45</v>
      </c>
      <c r="K133" s="58"/>
      <c r="L133" s="181">
        <v>-356.45</v>
      </c>
      <c r="M133" s="58"/>
      <c r="N133" s="181">
        <v>-356.45</v>
      </c>
      <c r="O133" s="58"/>
      <c r="P133" s="181">
        <v>-356.45</v>
      </c>
      <c r="Q133" s="58"/>
      <c r="R133" s="181">
        <v>-356.45</v>
      </c>
      <c r="S133" s="58"/>
      <c r="T133" s="181">
        <v>-356.45</v>
      </c>
      <c r="U133" s="58"/>
    </row>
    <row r="134" spans="1:21" x14ac:dyDescent="0.35">
      <c r="A134" s="94" t="s">
        <v>46</v>
      </c>
      <c r="B134" t="s">
        <v>45</v>
      </c>
      <c r="D134" s="85"/>
      <c r="E134" s="230">
        <v>-310</v>
      </c>
      <c r="F134" s="158">
        <v>-103.33</v>
      </c>
      <c r="G134" s="58">
        <v>-103.33</v>
      </c>
      <c r="H134" s="181">
        <v>-103.33</v>
      </c>
      <c r="I134" s="58"/>
      <c r="J134" s="181">
        <v>-103.33</v>
      </c>
      <c r="K134" s="58"/>
      <c r="L134" s="181">
        <v>-103.33</v>
      </c>
      <c r="M134" s="58"/>
      <c r="N134" s="181">
        <v>-103.33</v>
      </c>
      <c r="O134" s="58"/>
      <c r="P134" s="181">
        <v>-103.33</v>
      </c>
      <c r="Q134" s="58"/>
      <c r="R134" s="181">
        <v>-103.33</v>
      </c>
      <c r="S134" s="58"/>
      <c r="T134" s="181">
        <v>-103.33</v>
      </c>
      <c r="U134" s="58"/>
    </row>
    <row r="135" spans="1:21" x14ac:dyDescent="0.35">
      <c r="A135" s="94" t="s">
        <v>19</v>
      </c>
      <c r="B135" t="s">
        <v>45</v>
      </c>
      <c r="D135" s="85"/>
      <c r="E135" s="230">
        <v>-55.08</v>
      </c>
      <c r="F135" s="158">
        <v>-18.36</v>
      </c>
      <c r="G135" s="58">
        <v>-18.36</v>
      </c>
      <c r="H135" s="181">
        <v>-18.36</v>
      </c>
      <c r="I135" s="58"/>
      <c r="J135" s="181">
        <v>-18.36</v>
      </c>
      <c r="K135" s="58"/>
      <c r="L135" s="181">
        <v>-18.36</v>
      </c>
      <c r="M135" s="58"/>
      <c r="N135" s="181">
        <v>-18.36</v>
      </c>
      <c r="O135" s="58"/>
      <c r="P135" s="181">
        <v>-18.36</v>
      </c>
      <c r="Q135" s="58"/>
      <c r="R135" s="181">
        <v>-18.36</v>
      </c>
      <c r="S135" s="58"/>
      <c r="T135" s="181">
        <v>-18.36</v>
      </c>
      <c r="U135" s="58"/>
    </row>
    <row r="136" spans="1:21" x14ac:dyDescent="0.35">
      <c r="A136" s="94" t="s">
        <v>158</v>
      </c>
      <c r="B136" t="s">
        <v>159</v>
      </c>
      <c r="D136" s="85"/>
      <c r="E136" s="230">
        <v>-198.24</v>
      </c>
      <c r="F136" s="158"/>
      <c r="G136" s="58">
        <f>-951.74+-198.24</f>
        <v>-1149.98</v>
      </c>
      <c r="H136" s="181"/>
      <c r="I136" s="58"/>
      <c r="J136" s="57"/>
      <c r="K136" s="58"/>
      <c r="L136" s="57"/>
      <c r="M136" s="58"/>
      <c r="N136" s="57"/>
      <c r="O136" s="58"/>
      <c r="P136" s="57"/>
      <c r="Q136" s="58"/>
      <c r="R136" s="57"/>
      <c r="S136" s="58"/>
      <c r="T136" s="57"/>
      <c r="U136" s="58"/>
    </row>
    <row r="137" spans="1:21" x14ac:dyDescent="0.35">
      <c r="A137" s="94" t="s">
        <v>246</v>
      </c>
      <c r="B137" t="s">
        <v>56</v>
      </c>
      <c r="D137" s="85"/>
      <c r="E137" s="230">
        <v>-547.97</v>
      </c>
      <c r="F137" s="158">
        <v>-182.66</v>
      </c>
      <c r="G137" s="58">
        <v>-182.66</v>
      </c>
      <c r="H137" s="181">
        <v>-182.66</v>
      </c>
      <c r="I137" s="58"/>
      <c r="J137" s="181">
        <v>-182.66</v>
      </c>
      <c r="K137" s="58"/>
      <c r="L137" s="181">
        <v>-182.66</v>
      </c>
      <c r="M137" s="58"/>
      <c r="N137" s="181">
        <v>-182.66</v>
      </c>
      <c r="O137" s="58"/>
      <c r="P137" s="181">
        <v>-182.66</v>
      </c>
      <c r="Q137" s="58"/>
      <c r="R137" s="181">
        <v>-182.66</v>
      </c>
      <c r="S137" s="58"/>
      <c r="T137" s="181">
        <v>-182.66</v>
      </c>
      <c r="U137" s="58"/>
    </row>
    <row r="138" spans="1:21" x14ac:dyDescent="0.35">
      <c r="A138" s="94"/>
      <c r="B138" t="s">
        <v>60</v>
      </c>
      <c r="D138" s="85"/>
      <c r="E138" s="230">
        <v>-540.76</v>
      </c>
      <c r="F138" s="158">
        <v>-180.25</v>
      </c>
      <c r="G138" s="58">
        <v>-180.28</v>
      </c>
      <c r="H138" s="181">
        <v>-180.25</v>
      </c>
      <c r="I138" s="58"/>
      <c r="J138" s="181">
        <v>-180.25</v>
      </c>
      <c r="K138" s="58"/>
      <c r="L138" s="181">
        <v>-180.25</v>
      </c>
      <c r="M138" s="58"/>
      <c r="N138" s="181">
        <v>-180.25</v>
      </c>
      <c r="O138" s="58"/>
      <c r="P138" s="181">
        <v>-180.25</v>
      </c>
      <c r="Q138" s="58"/>
      <c r="R138" s="181">
        <v>-180.25</v>
      </c>
      <c r="S138" s="58"/>
      <c r="T138" s="181">
        <v>-180.25</v>
      </c>
      <c r="U138" s="58"/>
    </row>
    <row r="139" spans="1:21" x14ac:dyDescent="0.35">
      <c r="A139" s="94"/>
      <c r="B139" t="s">
        <v>57</v>
      </c>
      <c r="D139" s="85"/>
      <c r="E139" s="230">
        <v>-5720.45</v>
      </c>
      <c r="F139" s="29">
        <v>-1906.82</v>
      </c>
      <c r="G139" s="58">
        <v>-1906.82</v>
      </c>
      <c r="H139" s="181">
        <v>-1906.82</v>
      </c>
      <c r="I139" s="58"/>
      <c r="J139" s="181">
        <v>-1906.82</v>
      </c>
      <c r="K139" s="58"/>
      <c r="L139" s="181">
        <v>-1906.82</v>
      </c>
      <c r="M139" s="58"/>
      <c r="N139" s="181">
        <v>-1906.82</v>
      </c>
      <c r="O139" s="58"/>
      <c r="P139" s="181">
        <v>-1906.82</v>
      </c>
      <c r="Q139" s="58"/>
      <c r="R139" s="181">
        <v>-1906.82</v>
      </c>
      <c r="S139" s="58"/>
      <c r="T139" s="181">
        <v>-1906.82</v>
      </c>
      <c r="U139" s="58"/>
    </row>
    <row r="140" spans="1:21" x14ac:dyDescent="0.35">
      <c r="A140" s="94"/>
      <c r="B140" t="s">
        <v>58</v>
      </c>
      <c r="D140" s="85"/>
      <c r="E140" s="230">
        <v>-1397.51</v>
      </c>
      <c r="F140" s="158">
        <v>-465.84</v>
      </c>
      <c r="G140" s="58">
        <v>-465.84</v>
      </c>
      <c r="H140" s="181">
        <v>-465.84</v>
      </c>
      <c r="I140" s="58"/>
      <c r="J140" s="181">
        <v>-465.84</v>
      </c>
      <c r="K140" s="58"/>
      <c r="L140" s="181">
        <v>-465.84</v>
      </c>
      <c r="M140" s="58"/>
      <c r="N140" s="181">
        <v>-465.84</v>
      </c>
      <c r="O140" s="58"/>
      <c r="P140" s="181">
        <v>-465.84</v>
      </c>
      <c r="Q140" s="58"/>
      <c r="R140" s="181">
        <v>-465.84</v>
      </c>
      <c r="S140" s="58"/>
      <c r="T140" s="181">
        <v>-465.84</v>
      </c>
      <c r="U140" s="58"/>
    </row>
    <row r="141" spans="1:21" x14ac:dyDescent="0.35">
      <c r="A141" s="94"/>
      <c r="B141" t="s">
        <v>59</v>
      </c>
      <c r="D141" s="85"/>
      <c r="E141" s="230">
        <v>-1428</v>
      </c>
      <c r="F141" s="158">
        <v>-476</v>
      </c>
      <c r="G141" s="58">
        <v>-476</v>
      </c>
      <c r="H141" s="181">
        <v>-476</v>
      </c>
      <c r="I141" s="58"/>
      <c r="J141" s="181">
        <v>-476</v>
      </c>
      <c r="K141" s="58"/>
      <c r="L141" s="181">
        <v>-476</v>
      </c>
      <c r="M141" s="58"/>
      <c r="N141" s="181">
        <v>-476</v>
      </c>
      <c r="O141" s="58"/>
      <c r="P141" s="181">
        <v>-476</v>
      </c>
      <c r="Q141" s="58"/>
      <c r="R141" s="181">
        <v>-476</v>
      </c>
      <c r="S141" s="58"/>
      <c r="T141" s="181">
        <v>-476</v>
      </c>
      <c r="U141" s="58"/>
    </row>
    <row r="142" spans="1:21" x14ac:dyDescent="0.35">
      <c r="A142" s="94"/>
      <c r="B142" t="s">
        <v>92</v>
      </c>
      <c r="D142" s="85"/>
      <c r="E142" s="230">
        <v>-62.87</v>
      </c>
      <c r="F142" s="158">
        <v>-20.96</v>
      </c>
      <c r="G142" s="58">
        <v>-20.96</v>
      </c>
      <c r="H142" s="181">
        <v>-20.96</v>
      </c>
      <c r="I142" s="58"/>
      <c r="J142" s="181">
        <v>-20.96</v>
      </c>
      <c r="K142" s="58"/>
      <c r="L142" s="181">
        <v>-20.96</v>
      </c>
      <c r="M142" s="58"/>
      <c r="N142" s="181">
        <v>-20.96</v>
      </c>
      <c r="O142" s="58"/>
      <c r="P142" s="181">
        <v>-20.96</v>
      </c>
      <c r="Q142" s="58"/>
      <c r="R142" s="181">
        <v>-20.96</v>
      </c>
      <c r="S142" s="58"/>
      <c r="T142" s="181">
        <v>-20.96</v>
      </c>
      <c r="U142" s="58"/>
    </row>
    <row r="143" spans="1:21" x14ac:dyDescent="0.35">
      <c r="A143" s="94"/>
      <c r="B143" t="s">
        <v>61</v>
      </c>
      <c r="D143" s="85"/>
      <c r="E143" s="230">
        <v>-439.46</v>
      </c>
      <c r="F143" s="158"/>
      <c r="G143" s="58"/>
      <c r="H143" s="181"/>
      <c r="I143" s="58"/>
      <c r="J143" s="57"/>
      <c r="K143" s="58"/>
      <c r="L143" s="57"/>
      <c r="M143" s="58"/>
      <c r="N143" s="57"/>
      <c r="O143" s="58"/>
      <c r="P143" s="57"/>
      <c r="Q143" s="58"/>
      <c r="R143" s="57"/>
      <c r="S143" s="58"/>
      <c r="T143" s="57"/>
      <c r="U143" s="58"/>
    </row>
    <row r="144" spans="1:21" x14ac:dyDescent="0.35">
      <c r="A144" s="94" t="s">
        <v>69</v>
      </c>
      <c r="B144" t="s">
        <v>70</v>
      </c>
      <c r="D144" s="85"/>
      <c r="E144" s="230">
        <f>3*-394.26</f>
        <v>-1182.78</v>
      </c>
      <c r="F144" s="158">
        <v>-394.26</v>
      </c>
      <c r="G144" s="58">
        <v>-394.26</v>
      </c>
      <c r="H144" s="181">
        <v>-394.26</v>
      </c>
      <c r="I144" s="58"/>
      <c r="J144" s="57">
        <v>-394.26</v>
      </c>
      <c r="K144" s="58"/>
      <c r="L144" s="57">
        <v>-394.26</v>
      </c>
      <c r="M144" s="58"/>
      <c r="N144" s="57">
        <v>-394.26</v>
      </c>
      <c r="O144" s="58"/>
      <c r="P144" s="57">
        <v>-394.26</v>
      </c>
      <c r="Q144" s="58"/>
      <c r="R144" s="57">
        <v>-394.26</v>
      </c>
      <c r="S144" s="58"/>
      <c r="T144" s="57">
        <v>-394.26</v>
      </c>
      <c r="U144" s="58"/>
    </row>
    <row r="145" spans="1:21" x14ac:dyDescent="0.35">
      <c r="A145" s="94" t="s">
        <v>247</v>
      </c>
      <c r="B145" s="48" t="s">
        <v>51</v>
      </c>
      <c r="C145" s="48"/>
      <c r="D145" s="85"/>
      <c r="E145" s="230">
        <f>3*-512.53</f>
        <v>-1537.59</v>
      </c>
      <c r="F145" s="158">
        <v>-512.53</v>
      </c>
      <c r="G145" s="58">
        <v>-512.53</v>
      </c>
      <c r="H145" s="181">
        <v>-512.53</v>
      </c>
      <c r="I145" s="58"/>
      <c r="J145" s="57">
        <v>-512.53</v>
      </c>
      <c r="K145" s="58"/>
      <c r="L145" s="57">
        <v>-512.53</v>
      </c>
      <c r="M145" s="58"/>
      <c r="N145" s="57">
        <v>-512.53</v>
      </c>
      <c r="O145" s="58"/>
      <c r="P145" s="57">
        <v>-512.53</v>
      </c>
      <c r="Q145" s="58"/>
      <c r="R145" s="57">
        <v>-512.53</v>
      </c>
      <c r="S145" s="58"/>
      <c r="T145" s="57">
        <v>-512.53</v>
      </c>
      <c r="U145" s="58"/>
    </row>
    <row r="146" spans="1:21" x14ac:dyDescent="0.35">
      <c r="A146" s="100" t="s">
        <v>249</v>
      </c>
      <c r="B146" t="s">
        <v>62</v>
      </c>
      <c r="D146" s="85"/>
      <c r="E146" s="230">
        <f>3*-133.88</f>
        <v>-401.64</v>
      </c>
      <c r="F146" s="158">
        <v>-133.88</v>
      </c>
      <c r="G146" s="58">
        <v>-133.88</v>
      </c>
      <c r="H146" s="181">
        <v>-133.88</v>
      </c>
      <c r="I146" s="58"/>
      <c r="J146" s="57">
        <v>-133.88</v>
      </c>
      <c r="K146" s="58"/>
      <c r="L146" s="57">
        <v>-133.88</v>
      </c>
      <c r="M146" s="58"/>
      <c r="N146" s="57">
        <v>-133.88</v>
      </c>
      <c r="O146" s="58"/>
      <c r="P146" s="57">
        <v>-133.88</v>
      </c>
      <c r="Q146" s="58"/>
      <c r="R146" s="57">
        <v>-133.88</v>
      </c>
      <c r="S146" s="58"/>
      <c r="T146" s="57">
        <v>-133.88</v>
      </c>
      <c r="U146" s="58"/>
    </row>
    <row r="147" spans="1:21" x14ac:dyDescent="0.35">
      <c r="A147" s="100" t="s">
        <v>249</v>
      </c>
      <c r="B147" t="s">
        <v>68</v>
      </c>
      <c r="D147" s="85"/>
      <c r="E147" s="230">
        <f>3*-90.69</f>
        <v>-272.07</v>
      </c>
      <c r="F147" s="158">
        <v>-90.69</v>
      </c>
      <c r="G147" s="58">
        <v>-90.69</v>
      </c>
      <c r="H147" s="181">
        <v>-90.69</v>
      </c>
      <c r="I147" s="58"/>
      <c r="J147" s="57">
        <v>-90.69</v>
      </c>
      <c r="K147" s="58"/>
      <c r="L147" s="57">
        <v>-90.69</v>
      </c>
      <c r="M147" s="58"/>
      <c r="N147" s="57">
        <v>-90.69</v>
      </c>
      <c r="O147" s="58"/>
      <c r="P147" s="57">
        <v>-90.69</v>
      </c>
      <c r="Q147" s="58"/>
      <c r="R147" s="57">
        <v>-90.69</v>
      </c>
      <c r="S147" s="58"/>
      <c r="T147" s="57">
        <v>-90.69</v>
      </c>
      <c r="U147" s="58"/>
    </row>
    <row r="148" spans="1:21" x14ac:dyDescent="0.35">
      <c r="A148" s="94" t="s">
        <v>245</v>
      </c>
      <c r="B148" t="s">
        <v>65</v>
      </c>
      <c r="D148" s="85"/>
      <c r="E148" s="230">
        <f>3*-135</f>
        <v>-405</v>
      </c>
      <c r="F148" s="158">
        <v>-134.07</v>
      </c>
      <c r="G148" s="58">
        <v>-134.07</v>
      </c>
      <c r="H148" s="181">
        <v>-167.56</v>
      </c>
      <c r="I148" s="58"/>
      <c r="J148" s="57">
        <v>-135</v>
      </c>
      <c r="K148" s="58"/>
      <c r="L148" s="57">
        <v>-135</v>
      </c>
      <c r="M148" s="58"/>
      <c r="N148" s="57">
        <v>-135</v>
      </c>
      <c r="O148" s="58"/>
      <c r="P148" s="57">
        <v>-135</v>
      </c>
      <c r="Q148" s="58"/>
      <c r="R148" s="57">
        <v>-135</v>
      </c>
      <c r="S148" s="58"/>
      <c r="T148" s="57">
        <v>-135</v>
      </c>
      <c r="U148" s="58"/>
    </row>
    <row r="149" spans="1:21" x14ac:dyDescent="0.35">
      <c r="A149" s="94" t="s">
        <v>245</v>
      </c>
      <c r="B149" t="s">
        <v>63</v>
      </c>
      <c r="D149" s="85"/>
      <c r="E149" s="230">
        <f>3*-146.49</f>
        <v>-439.47</v>
      </c>
      <c r="F149" s="158">
        <v>-146.49</v>
      </c>
      <c r="G149" s="58">
        <v>-146.49</v>
      </c>
      <c r="H149" s="181">
        <v>-146.49</v>
      </c>
      <c r="I149" s="58"/>
      <c r="J149" s="57">
        <v>-146.49</v>
      </c>
      <c r="K149" s="58"/>
      <c r="L149" s="57">
        <v>-146.49</v>
      </c>
      <c r="M149" s="58"/>
      <c r="N149" s="57">
        <v>-146.49</v>
      </c>
      <c r="O149" s="58"/>
      <c r="P149" s="57">
        <v>-146.49</v>
      </c>
      <c r="Q149" s="58"/>
      <c r="R149" s="57">
        <v>-146.49</v>
      </c>
      <c r="S149" s="58"/>
      <c r="T149" s="57">
        <v>-146.49</v>
      </c>
      <c r="U149" s="58"/>
    </row>
    <row r="150" spans="1:21" x14ac:dyDescent="0.35">
      <c r="A150" s="94" t="s">
        <v>245</v>
      </c>
      <c r="B150" t="s">
        <v>66</v>
      </c>
      <c r="D150" s="85"/>
      <c r="E150" s="230">
        <f>3*-67</f>
        <v>-201</v>
      </c>
      <c r="F150" s="158">
        <v>-67</v>
      </c>
      <c r="G150" s="58">
        <v>-67</v>
      </c>
      <c r="H150" s="181">
        <v>-67</v>
      </c>
      <c r="I150" s="58"/>
      <c r="J150" s="57">
        <v>-67</v>
      </c>
      <c r="K150" s="58"/>
      <c r="L150" s="57">
        <v>-67</v>
      </c>
      <c r="M150" s="58"/>
      <c r="N150" s="57">
        <v>-67</v>
      </c>
      <c r="O150" s="58"/>
      <c r="P150" s="57">
        <v>-67</v>
      </c>
      <c r="Q150" s="58"/>
      <c r="R150" s="57">
        <v>-67</v>
      </c>
      <c r="S150" s="58"/>
      <c r="T150" s="57">
        <v>-67</v>
      </c>
      <c r="U150" s="58"/>
    </row>
    <row r="151" spans="1:21" x14ac:dyDescent="0.35">
      <c r="A151" s="94" t="s">
        <v>245</v>
      </c>
      <c r="B151" t="s">
        <v>67</v>
      </c>
      <c r="D151" s="85"/>
      <c r="E151" s="230">
        <f>3*-55.84</f>
        <v>-167.52</v>
      </c>
      <c r="F151" s="158">
        <v>-55.84</v>
      </c>
      <c r="G151" s="58">
        <v>-55.84</v>
      </c>
      <c r="H151" s="181">
        <v>-55.84</v>
      </c>
      <c r="I151" s="58"/>
      <c r="J151" s="57">
        <v>-55.84</v>
      </c>
      <c r="K151" s="58"/>
      <c r="L151" s="57">
        <v>-55.84</v>
      </c>
      <c r="M151" s="58"/>
      <c r="N151" s="57">
        <v>-55.84</v>
      </c>
      <c r="O151" s="58"/>
      <c r="P151" s="57">
        <v>-55.84</v>
      </c>
      <c r="Q151" s="58"/>
      <c r="R151" s="57">
        <v>-55.84</v>
      </c>
      <c r="S151" s="58"/>
      <c r="T151" s="57">
        <v>-55.84</v>
      </c>
      <c r="U151" s="58"/>
    </row>
    <row r="152" spans="1:21" x14ac:dyDescent="0.35">
      <c r="A152" s="94" t="s">
        <v>245</v>
      </c>
      <c r="B152" t="s">
        <v>129</v>
      </c>
      <c r="D152" s="85"/>
      <c r="E152" s="226">
        <v>0</v>
      </c>
      <c r="F152" s="158"/>
      <c r="G152" s="58"/>
      <c r="H152" s="181"/>
      <c r="I152" s="58"/>
      <c r="J152" s="57"/>
      <c r="K152" s="58"/>
      <c r="L152" s="57"/>
      <c r="M152" s="58"/>
      <c r="N152" s="57"/>
      <c r="O152" s="58"/>
      <c r="P152" s="57"/>
      <c r="Q152" s="58"/>
      <c r="R152" s="57">
        <v>-450</v>
      </c>
      <c r="S152" s="58"/>
      <c r="T152" s="57"/>
      <c r="U152" s="58"/>
    </row>
    <row r="153" spans="1:21" x14ac:dyDescent="0.35">
      <c r="A153" s="94" t="s">
        <v>245</v>
      </c>
      <c r="B153" t="s">
        <v>130</v>
      </c>
      <c r="D153" s="85"/>
      <c r="E153" s="226">
        <v>0</v>
      </c>
      <c r="F153" s="158"/>
      <c r="G153" s="58"/>
      <c r="H153" s="181">
        <v>-310</v>
      </c>
      <c r="I153" s="58"/>
      <c r="J153" s="57"/>
      <c r="K153" s="58"/>
      <c r="L153" s="57"/>
      <c r="M153" s="58"/>
      <c r="N153" s="57"/>
      <c r="O153" s="58"/>
      <c r="P153" s="57"/>
      <c r="Q153" s="58"/>
      <c r="R153" s="57">
        <v>-310</v>
      </c>
      <c r="S153" s="58"/>
      <c r="T153" s="57"/>
      <c r="U153" s="58"/>
    </row>
    <row r="154" spans="1:21" x14ac:dyDescent="0.35">
      <c r="A154" s="94" t="s">
        <v>245</v>
      </c>
      <c r="B154" t="s">
        <v>131</v>
      </c>
      <c r="D154" s="85"/>
      <c r="E154" s="226">
        <v>0</v>
      </c>
      <c r="F154" s="158">
        <v>-249.6</v>
      </c>
      <c r="G154" s="58"/>
      <c r="H154" s="181">
        <v>-250</v>
      </c>
      <c r="I154" s="58"/>
      <c r="J154" s="57"/>
      <c r="K154" s="58"/>
      <c r="L154" s="57"/>
      <c r="M154" s="58"/>
      <c r="N154" s="57"/>
      <c r="O154" s="58"/>
      <c r="P154" s="57"/>
      <c r="Q154" s="58"/>
      <c r="R154" s="57"/>
      <c r="S154" s="58"/>
      <c r="T154" s="57"/>
      <c r="U154" s="58"/>
    </row>
    <row r="155" spans="1:21" x14ac:dyDescent="0.35">
      <c r="A155" s="94" t="s">
        <v>245</v>
      </c>
      <c r="B155" t="s">
        <v>85</v>
      </c>
      <c r="D155" s="85"/>
      <c r="E155" s="226">
        <v>-150</v>
      </c>
      <c r="F155" s="158">
        <v>-150</v>
      </c>
      <c r="G155" s="58">
        <v>-21.96</v>
      </c>
      <c r="H155" s="181"/>
      <c r="I155" s="58"/>
      <c r="J155" s="57">
        <v>-150</v>
      </c>
      <c r="K155" s="58"/>
      <c r="L155" s="57"/>
      <c r="M155" s="58"/>
      <c r="N155" s="57"/>
      <c r="O155" s="58"/>
      <c r="P155" s="57">
        <v>-150</v>
      </c>
      <c r="Q155" s="58"/>
      <c r="R155" s="57"/>
      <c r="S155" s="58"/>
      <c r="T155" s="57"/>
      <c r="U155" s="58"/>
    </row>
    <row r="156" spans="1:21" x14ac:dyDescent="0.35">
      <c r="A156" s="94" t="s">
        <v>245</v>
      </c>
      <c r="B156" t="s">
        <v>55</v>
      </c>
      <c r="D156" s="85"/>
      <c r="E156" s="226">
        <v>-553.03</v>
      </c>
      <c r="F156" s="158">
        <v>-368.69</v>
      </c>
      <c r="G156" s="58"/>
      <c r="H156" s="181"/>
      <c r="I156" s="58"/>
      <c r="J156" s="57"/>
      <c r="K156" s="58"/>
      <c r="L156" s="57"/>
      <c r="M156" s="58"/>
      <c r="N156" s="57"/>
      <c r="O156" s="58"/>
      <c r="P156" s="57">
        <v>-368.69</v>
      </c>
      <c r="Q156" s="58"/>
      <c r="R156" s="57"/>
      <c r="S156" s="58"/>
      <c r="T156" s="57"/>
      <c r="U156" s="58"/>
    </row>
    <row r="157" spans="1:21" x14ac:dyDescent="0.35">
      <c r="A157" s="94" t="s">
        <v>17</v>
      </c>
      <c r="B157" t="s">
        <v>86</v>
      </c>
      <c r="D157" s="86"/>
      <c r="E157" s="231">
        <f>-4671.74</f>
        <v>-4671.74</v>
      </c>
      <c r="F157" s="158">
        <v>-1586</v>
      </c>
      <c r="G157" s="58">
        <v>-1159</v>
      </c>
      <c r="H157" s="181">
        <v>-2000</v>
      </c>
      <c r="I157" s="58"/>
      <c r="J157" s="57">
        <v>-2000</v>
      </c>
      <c r="K157" s="58"/>
      <c r="L157" s="57">
        <v>-2000</v>
      </c>
      <c r="M157" s="58"/>
      <c r="N157" s="57">
        <v>-2000</v>
      </c>
      <c r="O157" s="58"/>
      <c r="P157" s="57">
        <v>-2000</v>
      </c>
      <c r="Q157" s="58"/>
      <c r="R157" s="57">
        <v>-2000</v>
      </c>
      <c r="S157" s="58"/>
      <c r="T157" s="57">
        <v>-2000</v>
      </c>
      <c r="U157" s="58"/>
    </row>
    <row r="158" spans="1:21" x14ac:dyDescent="0.35">
      <c r="A158" s="94"/>
      <c r="B158" t="s">
        <v>93</v>
      </c>
      <c r="D158" s="86"/>
      <c r="E158" s="231">
        <f>-2480.47-4512.46</f>
        <v>-6992.93</v>
      </c>
      <c r="F158" s="158">
        <v>-790</v>
      </c>
      <c r="G158" s="58">
        <f>-1373</f>
        <v>-1373</v>
      </c>
      <c r="H158" s="181">
        <v>-2000</v>
      </c>
      <c r="I158" s="58"/>
      <c r="J158" s="57">
        <v>-2000</v>
      </c>
      <c r="K158" s="58"/>
      <c r="L158" s="57">
        <v>-2000</v>
      </c>
      <c r="M158" s="58"/>
      <c r="N158" s="57">
        <v>-2000</v>
      </c>
      <c r="O158" s="58"/>
      <c r="P158" s="57">
        <v>-2000</v>
      </c>
      <c r="Q158" s="58"/>
      <c r="R158" s="57">
        <v>-2000</v>
      </c>
      <c r="S158" s="58"/>
      <c r="T158" s="57">
        <v>-2000</v>
      </c>
      <c r="U158" s="58"/>
    </row>
    <row r="159" spans="1:21" x14ac:dyDescent="0.35">
      <c r="A159" s="94"/>
      <c r="B159" t="s">
        <v>135</v>
      </c>
      <c r="D159" s="86"/>
      <c r="E159" s="231">
        <v>-635.87</v>
      </c>
      <c r="F159" s="158"/>
      <c r="G159" s="58"/>
      <c r="H159" s="181"/>
      <c r="I159" s="58"/>
      <c r="J159" s="57"/>
      <c r="K159" s="58"/>
      <c r="L159" s="57"/>
      <c r="M159" s="58"/>
      <c r="N159" s="57"/>
      <c r="O159" s="58"/>
      <c r="P159" s="57"/>
      <c r="Q159" s="58"/>
      <c r="R159" s="57"/>
      <c r="S159" s="58"/>
      <c r="T159" s="57"/>
      <c r="U159" s="58"/>
    </row>
    <row r="160" spans="1:21" x14ac:dyDescent="0.35">
      <c r="A160" s="94" t="s">
        <v>248</v>
      </c>
      <c r="B160" t="s">
        <v>87</v>
      </c>
      <c r="D160" s="86"/>
      <c r="E160" s="231">
        <v>0</v>
      </c>
      <c r="F160" s="158"/>
      <c r="G160" s="58"/>
      <c r="H160" s="181"/>
      <c r="I160" s="58"/>
      <c r="J160" s="57"/>
      <c r="K160" s="58"/>
      <c r="L160" s="57"/>
      <c r="M160" s="58"/>
      <c r="N160" s="57"/>
      <c r="O160" s="58"/>
      <c r="P160" s="57">
        <v>-2500</v>
      </c>
      <c r="Q160" s="58"/>
      <c r="R160" s="57"/>
      <c r="S160" s="58"/>
      <c r="T160" s="57"/>
      <c r="U160" s="58"/>
    </row>
    <row r="161" spans="1:21" x14ac:dyDescent="0.35">
      <c r="A161" s="94" t="s">
        <v>249</v>
      </c>
      <c r="B161" t="s">
        <v>88</v>
      </c>
      <c r="D161" s="86"/>
      <c r="E161" s="231">
        <v>-3310.58</v>
      </c>
      <c r="F161" s="158">
        <v>-249.6</v>
      </c>
      <c r="G161" s="58"/>
      <c r="H161" s="181">
        <v>-100</v>
      </c>
      <c r="I161" s="58"/>
      <c r="J161" s="57">
        <v>-100</v>
      </c>
      <c r="K161" s="58"/>
      <c r="L161" s="57">
        <v>-100</v>
      </c>
      <c r="M161" s="58"/>
      <c r="N161" s="57">
        <v>-100</v>
      </c>
      <c r="O161" s="58"/>
      <c r="P161" s="57">
        <v>-100</v>
      </c>
      <c r="Q161" s="58"/>
      <c r="R161" s="57">
        <v>-100</v>
      </c>
      <c r="S161" s="58"/>
      <c r="T161" s="57">
        <v>-100</v>
      </c>
      <c r="U161" s="58"/>
    </row>
    <row r="162" spans="1:21" x14ac:dyDescent="0.35">
      <c r="A162" s="94" t="s">
        <v>20</v>
      </c>
      <c r="B162" t="s">
        <v>97</v>
      </c>
      <c r="D162" s="86"/>
      <c r="E162" s="231">
        <f>3*-94.04</f>
        <v>-282.12</v>
      </c>
      <c r="F162" s="158">
        <v>-94.04</v>
      </c>
      <c r="G162" s="58">
        <v>-99.88</v>
      </c>
      <c r="H162" s="181">
        <v>-100</v>
      </c>
      <c r="I162" s="58"/>
      <c r="J162" s="57">
        <v>-100</v>
      </c>
      <c r="K162" s="58"/>
      <c r="L162" s="57">
        <v>-100</v>
      </c>
      <c r="M162" s="58"/>
      <c r="N162" s="57">
        <v>-100</v>
      </c>
      <c r="O162" s="58"/>
      <c r="P162" s="57">
        <v>-100</v>
      </c>
      <c r="Q162" s="58"/>
      <c r="R162" s="57">
        <v>-100</v>
      </c>
      <c r="S162" s="58"/>
      <c r="T162" s="57">
        <v>-100</v>
      </c>
      <c r="U162" s="58"/>
    </row>
    <row r="163" spans="1:21" x14ac:dyDescent="0.35">
      <c r="A163" s="94"/>
      <c r="B163" t="s">
        <v>29</v>
      </c>
      <c r="D163" s="86"/>
      <c r="E163" s="231">
        <v>-334.21</v>
      </c>
      <c r="F163" s="158"/>
      <c r="G163" s="58">
        <f>-41.49</f>
        <v>-41.49</v>
      </c>
      <c r="H163" s="181">
        <v>-300</v>
      </c>
      <c r="I163" s="58"/>
      <c r="J163" s="57">
        <v>-300</v>
      </c>
      <c r="K163" s="58"/>
      <c r="L163" s="57">
        <v>-300</v>
      </c>
      <c r="M163" s="58"/>
      <c r="N163" s="57">
        <v>-300</v>
      </c>
      <c r="O163" s="58"/>
      <c r="P163" s="57">
        <v>-300</v>
      </c>
      <c r="Q163" s="58"/>
      <c r="R163" s="57">
        <v>-300</v>
      </c>
      <c r="S163" s="58"/>
      <c r="T163" s="57">
        <v>-300</v>
      </c>
      <c r="U163" s="58"/>
    </row>
    <row r="164" spans="1:21" x14ac:dyDescent="0.35">
      <c r="A164" s="94"/>
      <c r="B164" t="s">
        <v>199</v>
      </c>
      <c r="D164" s="86"/>
      <c r="E164" s="231">
        <v>-719.38</v>
      </c>
      <c r="F164" s="158"/>
      <c r="G164" s="58"/>
      <c r="H164" s="181">
        <v>-250</v>
      </c>
      <c r="I164" s="58"/>
      <c r="J164" s="57">
        <v>-250</v>
      </c>
      <c r="K164" s="58"/>
      <c r="L164" s="57">
        <v>-250</v>
      </c>
      <c r="M164" s="58"/>
      <c r="N164" s="57">
        <v>-250</v>
      </c>
      <c r="O164" s="58"/>
      <c r="P164" s="57">
        <v>-250</v>
      </c>
      <c r="Q164" s="58"/>
      <c r="R164" s="57">
        <v>-250</v>
      </c>
      <c r="S164" s="58"/>
      <c r="T164" s="57">
        <v>-250</v>
      </c>
      <c r="U164" s="58"/>
    </row>
    <row r="165" spans="1:21" x14ac:dyDescent="0.35">
      <c r="A165" s="94" t="s">
        <v>21</v>
      </c>
      <c r="B165" t="s">
        <v>98</v>
      </c>
      <c r="D165" s="86"/>
      <c r="E165" s="231">
        <v>0</v>
      </c>
      <c r="F165" s="158"/>
      <c r="G165" s="58"/>
      <c r="H165" s="181"/>
      <c r="I165" s="58"/>
      <c r="J165" s="57"/>
      <c r="K165" s="58"/>
      <c r="L165" s="57"/>
      <c r="M165" s="58"/>
      <c r="N165" s="57"/>
      <c r="O165" s="58"/>
      <c r="P165" s="57">
        <v>-1500</v>
      </c>
      <c r="Q165" s="58"/>
      <c r="R165" s="57"/>
      <c r="S165" s="58"/>
      <c r="T165" s="57"/>
      <c r="U165" s="58"/>
    </row>
    <row r="166" spans="1:21" x14ac:dyDescent="0.35">
      <c r="A166" s="94"/>
      <c r="B166" t="s">
        <v>99</v>
      </c>
      <c r="D166" s="86"/>
      <c r="E166" s="231">
        <v>0</v>
      </c>
      <c r="F166" s="158"/>
      <c r="G166" s="58"/>
      <c r="H166" s="181"/>
      <c r="I166" s="58"/>
      <c r="J166" s="57"/>
      <c r="K166" s="58"/>
      <c r="L166" s="57"/>
      <c r="M166" s="58"/>
      <c r="N166" s="57"/>
      <c r="O166" s="58"/>
      <c r="P166" s="57"/>
      <c r="Q166" s="58"/>
      <c r="R166" s="57"/>
      <c r="S166" s="58"/>
      <c r="T166" s="57"/>
      <c r="U166" s="58"/>
    </row>
    <row r="167" spans="1:21" x14ac:dyDescent="0.35">
      <c r="A167" s="94"/>
      <c r="B167" t="s">
        <v>100</v>
      </c>
      <c r="D167" s="86"/>
      <c r="E167" s="231">
        <v>0</v>
      </c>
      <c r="F167" s="158"/>
      <c r="G167" s="58"/>
      <c r="H167" s="181">
        <v>-1000</v>
      </c>
      <c r="I167" s="58"/>
      <c r="J167" s="57"/>
      <c r="K167" s="58"/>
      <c r="L167" s="57"/>
      <c r="M167" s="58"/>
      <c r="N167" s="57"/>
      <c r="O167" s="58"/>
      <c r="P167" s="57"/>
      <c r="Q167" s="58"/>
      <c r="R167" s="57"/>
      <c r="S167" s="58"/>
      <c r="T167" s="57"/>
      <c r="U167" s="58"/>
    </row>
    <row r="168" spans="1:21" x14ac:dyDescent="0.35">
      <c r="A168" s="94"/>
      <c r="B168" t="s">
        <v>101</v>
      </c>
      <c r="D168" s="86"/>
      <c r="E168" s="231">
        <v>0</v>
      </c>
      <c r="F168" s="158"/>
      <c r="G168" s="58"/>
      <c r="H168" s="181"/>
      <c r="I168" s="58"/>
      <c r="J168" s="57"/>
      <c r="K168" s="58"/>
      <c r="L168" s="57"/>
      <c r="M168" s="58"/>
      <c r="N168" s="57"/>
      <c r="O168" s="58"/>
      <c r="P168" s="57"/>
      <c r="Q168" s="58"/>
      <c r="R168" s="57"/>
      <c r="S168" s="58"/>
      <c r="T168" s="57"/>
      <c r="U168" s="58"/>
    </row>
    <row r="169" spans="1:21" x14ac:dyDescent="0.35">
      <c r="A169" s="94"/>
      <c r="B169" t="s">
        <v>102</v>
      </c>
      <c r="D169" s="86"/>
      <c r="E169" s="231">
        <v>0</v>
      </c>
      <c r="F169" s="158"/>
      <c r="G169" s="58"/>
      <c r="H169" s="181"/>
      <c r="I169" s="58"/>
      <c r="J169" s="57"/>
      <c r="K169" s="58"/>
      <c r="L169" s="57"/>
      <c r="M169" s="58"/>
      <c r="N169" s="57"/>
      <c r="O169" s="58"/>
      <c r="P169" s="57"/>
      <c r="Q169" s="58"/>
      <c r="R169" s="57"/>
      <c r="S169" s="58"/>
      <c r="T169" s="57">
        <v>-500</v>
      </c>
      <c r="U169" s="58"/>
    </row>
    <row r="170" spans="1:21" x14ac:dyDescent="0.35">
      <c r="A170" s="94" t="s">
        <v>22</v>
      </c>
      <c r="B170" t="s">
        <v>94</v>
      </c>
      <c r="D170" s="86"/>
      <c r="E170" s="231">
        <v>0</v>
      </c>
      <c r="F170" s="158"/>
      <c r="G170" s="58"/>
      <c r="H170" s="181"/>
      <c r="I170" s="58"/>
      <c r="J170" s="57"/>
      <c r="K170" s="58"/>
      <c r="L170" s="57"/>
      <c r="M170" s="58"/>
      <c r="N170" s="57"/>
      <c r="O170" s="58"/>
      <c r="P170" s="57"/>
      <c r="Q170" s="58"/>
      <c r="R170" s="57"/>
      <c r="S170" s="58"/>
      <c r="T170" s="57"/>
      <c r="U170" s="58"/>
    </row>
    <row r="171" spans="1:21" x14ac:dyDescent="0.35">
      <c r="A171" s="94"/>
      <c r="B171" t="s">
        <v>95</v>
      </c>
      <c r="D171" s="86"/>
      <c r="E171" s="231">
        <v>0</v>
      </c>
      <c r="F171" s="158"/>
      <c r="G171" s="58"/>
      <c r="H171" s="181"/>
      <c r="I171" s="58"/>
      <c r="J171" s="57"/>
      <c r="K171" s="58"/>
      <c r="L171" s="57"/>
      <c r="M171" s="58"/>
      <c r="N171" s="57">
        <v>-3000</v>
      </c>
      <c r="O171" s="58"/>
      <c r="P171" s="57"/>
      <c r="Q171" s="58"/>
      <c r="R171" s="57"/>
      <c r="S171" s="58"/>
      <c r="T171" s="57"/>
      <c r="U171" s="58"/>
    </row>
    <row r="172" spans="1:21" x14ac:dyDescent="0.35">
      <c r="A172" s="94"/>
      <c r="B172" t="s">
        <v>96</v>
      </c>
      <c r="D172" s="86"/>
      <c r="E172" s="231">
        <v>0</v>
      </c>
      <c r="F172" s="158"/>
      <c r="G172" s="58"/>
      <c r="H172" s="181">
        <v>-2250</v>
      </c>
      <c r="I172" s="58"/>
      <c r="J172" s="57"/>
      <c r="K172" s="58"/>
      <c r="L172" s="57">
        <v>-750</v>
      </c>
      <c r="M172" s="58"/>
      <c r="N172" s="57"/>
      <c r="O172" s="58"/>
      <c r="P172" s="57"/>
      <c r="Q172" s="58"/>
      <c r="R172" s="57"/>
      <c r="S172" s="58"/>
      <c r="T172" s="57"/>
      <c r="U172" s="58"/>
    </row>
    <row r="173" spans="1:21" x14ac:dyDescent="0.35">
      <c r="A173" s="94" t="s">
        <v>23</v>
      </c>
      <c r="D173" s="86"/>
      <c r="E173" s="231">
        <v>-1004.07</v>
      </c>
      <c r="F173" s="158"/>
      <c r="G173" s="58"/>
      <c r="H173" s="181">
        <v>-200</v>
      </c>
      <c r="I173" s="58"/>
      <c r="J173" s="57">
        <v>-200</v>
      </c>
      <c r="K173" s="58"/>
      <c r="L173" s="57">
        <v>-200</v>
      </c>
      <c r="M173" s="58"/>
      <c r="N173" s="57">
        <v>-200</v>
      </c>
      <c r="O173" s="58"/>
      <c r="P173" s="57">
        <v>-200</v>
      </c>
      <c r="Q173" s="58"/>
      <c r="R173" s="57">
        <v>-200</v>
      </c>
      <c r="S173" s="58"/>
      <c r="T173" s="57">
        <v>-200</v>
      </c>
      <c r="U173" s="58"/>
    </row>
    <row r="174" spans="1:21" x14ac:dyDescent="0.35">
      <c r="A174" s="94" t="s">
        <v>30</v>
      </c>
      <c r="B174" s="61" t="s">
        <v>128</v>
      </c>
      <c r="C174" s="61"/>
      <c r="D174" s="62"/>
      <c r="E174" s="225">
        <v>-98.3</v>
      </c>
      <c r="F174" s="158">
        <v>-35</v>
      </c>
      <c r="G174" s="58"/>
      <c r="H174" s="181">
        <v>-100</v>
      </c>
      <c r="I174" s="58"/>
      <c r="J174" s="57">
        <v>-100</v>
      </c>
      <c r="K174" s="58"/>
      <c r="L174" s="57">
        <v>-100</v>
      </c>
      <c r="M174" s="58"/>
      <c r="N174" s="57">
        <v>-100</v>
      </c>
      <c r="O174" s="58"/>
      <c r="P174" s="57">
        <v>-100</v>
      </c>
      <c r="Q174" s="58"/>
      <c r="R174" s="57">
        <v>-100</v>
      </c>
      <c r="S174" s="58"/>
      <c r="T174" s="57">
        <v>-100</v>
      </c>
      <c r="U174" s="58"/>
    </row>
    <row r="175" spans="1:21" x14ac:dyDescent="0.35">
      <c r="A175" s="94" t="s">
        <v>31</v>
      </c>
      <c r="B175" s="61"/>
      <c r="C175" s="61"/>
      <c r="D175" s="62"/>
      <c r="E175" s="225"/>
      <c r="F175" s="158"/>
      <c r="G175" s="58"/>
      <c r="H175" s="181"/>
      <c r="I175" s="58"/>
      <c r="J175" s="57"/>
      <c r="K175" s="58"/>
      <c r="L175" s="57"/>
      <c r="M175" s="58"/>
      <c r="N175" s="57"/>
      <c r="O175" s="58"/>
      <c r="P175" s="57"/>
      <c r="Q175" s="58"/>
      <c r="R175" s="57"/>
      <c r="S175" s="58"/>
      <c r="T175" s="57"/>
      <c r="U175" s="58"/>
    </row>
    <row r="176" spans="1:21" x14ac:dyDescent="0.35">
      <c r="A176" s="121" t="s">
        <v>32</v>
      </c>
      <c r="B176" s="23"/>
      <c r="C176" s="23"/>
      <c r="D176" s="127"/>
      <c r="E176" s="232"/>
      <c r="F176" s="205"/>
      <c r="G176" s="129"/>
      <c r="H176" s="186"/>
      <c r="I176" s="129"/>
      <c r="J176" s="128">
        <v>-2000</v>
      </c>
      <c r="K176" s="129"/>
      <c r="L176" s="128">
        <v>-2000</v>
      </c>
      <c r="M176" s="129"/>
      <c r="N176" s="128">
        <v>-2000</v>
      </c>
      <c r="O176" s="129"/>
      <c r="P176" s="128">
        <v>-2000</v>
      </c>
      <c r="Q176" s="129"/>
      <c r="R176" s="128">
        <v>-2000</v>
      </c>
      <c r="S176" s="129"/>
      <c r="T176" s="128">
        <v>-2000</v>
      </c>
      <c r="U176" s="129"/>
    </row>
    <row r="177" spans="1:21" ht="24.65" customHeight="1" x14ac:dyDescent="0.35">
      <c r="A177" s="153" t="s">
        <v>28</v>
      </c>
      <c r="B177" s="65"/>
      <c r="C177" s="65"/>
      <c r="D177" s="65"/>
      <c r="E177" s="236">
        <f t="shared" ref="E177:U177" si="3">SUM(E133:E176)</f>
        <v>-35128.979999999996</v>
      </c>
      <c r="F177" s="243">
        <f t="shared" si="3"/>
        <v>-8768.36</v>
      </c>
      <c r="G177" s="251">
        <f t="shared" si="3"/>
        <v>-9090.7699999999986</v>
      </c>
      <c r="H177" s="182">
        <f t="shared" si="3"/>
        <v>-14138.92</v>
      </c>
      <c r="I177" s="93">
        <f t="shared" si="3"/>
        <v>0</v>
      </c>
      <c r="J177" s="67">
        <f t="shared" si="3"/>
        <v>-12446.36</v>
      </c>
      <c r="K177" s="93">
        <f t="shared" si="3"/>
        <v>0</v>
      </c>
      <c r="L177" s="67">
        <f t="shared" si="3"/>
        <v>-13046.36</v>
      </c>
      <c r="M177" s="93">
        <f t="shared" si="3"/>
        <v>0</v>
      </c>
      <c r="N177" s="67">
        <f t="shared" si="3"/>
        <v>-15296.36</v>
      </c>
      <c r="O177" s="93">
        <f t="shared" si="3"/>
        <v>0</v>
      </c>
      <c r="P177" s="67">
        <f t="shared" si="3"/>
        <v>-16815.05</v>
      </c>
      <c r="Q177" s="93">
        <f t="shared" si="3"/>
        <v>0</v>
      </c>
      <c r="R177" s="67">
        <f t="shared" si="3"/>
        <v>-13056.36</v>
      </c>
      <c r="S177" s="93">
        <f t="shared" si="3"/>
        <v>0</v>
      </c>
      <c r="T177" s="67">
        <f t="shared" si="3"/>
        <v>-12796.36</v>
      </c>
      <c r="U177" s="93">
        <f t="shared" si="3"/>
        <v>0</v>
      </c>
    </row>
    <row r="178" spans="1:21" ht="22" customHeight="1" x14ac:dyDescent="0.35">
      <c r="A178" s="153" t="s">
        <v>258</v>
      </c>
      <c r="B178" s="138"/>
      <c r="C178" s="138"/>
      <c r="D178" s="138"/>
      <c r="E178" s="233"/>
      <c r="F178" s="202"/>
      <c r="G178" s="126"/>
      <c r="H178" s="185"/>
      <c r="I178" s="126"/>
      <c r="J178" s="125"/>
      <c r="K178" s="126"/>
      <c r="L178" s="125"/>
      <c r="M178" s="126"/>
      <c r="N178" s="125"/>
      <c r="O178" s="126"/>
      <c r="P178" s="125"/>
      <c r="Q178" s="126"/>
      <c r="R178" s="125"/>
      <c r="S178" s="126"/>
      <c r="T178" s="125"/>
      <c r="U178" s="126"/>
    </row>
    <row r="179" spans="1:21" x14ac:dyDescent="0.35">
      <c r="A179" s="94" t="s">
        <v>14</v>
      </c>
      <c r="B179" s="75"/>
      <c r="C179" s="75"/>
      <c r="D179" s="75"/>
      <c r="E179" s="230">
        <f>-8847.31+-121296.1</f>
        <v>-130143.41</v>
      </c>
      <c r="F179" s="158">
        <f>-28910.42+-3043.39</f>
        <v>-31953.809999999998</v>
      </c>
      <c r="G179" s="58">
        <f>-(27623.31+2549.62)</f>
        <v>-30172.93</v>
      </c>
      <c r="H179" s="181">
        <v>-34000</v>
      </c>
      <c r="I179" s="58"/>
      <c r="J179" s="57">
        <v>-34000</v>
      </c>
      <c r="K179" s="58"/>
      <c r="L179" s="57">
        <v>-34000</v>
      </c>
      <c r="M179" s="58"/>
      <c r="N179" s="57">
        <v>-34000</v>
      </c>
      <c r="O179" s="58"/>
      <c r="P179" s="57">
        <v>-34000</v>
      </c>
      <c r="Q179" s="58"/>
      <c r="R179" s="57">
        <v>-34000</v>
      </c>
      <c r="S179" s="58"/>
      <c r="T179" s="57">
        <v>-34000</v>
      </c>
      <c r="U179" s="58"/>
    </row>
    <row r="180" spans="1:21" x14ac:dyDescent="0.35">
      <c r="A180" s="94" t="s">
        <v>15</v>
      </c>
      <c r="B180" s="61"/>
      <c r="C180" s="61"/>
      <c r="D180" s="61"/>
      <c r="E180" s="234">
        <v>-54808.21</v>
      </c>
      <c r="F180" s="158">
        <v>-18571.36</v>
      </c>
      <c r="G180" s="58">
        <f>-(13713.23+352.36+1119.47+186.3)</f>
        <v>-15371.359999999999</v>
      </c>
      <c r="H180" s="187">
        <v>-19000</v>
      </c>
      <c r="I180" s="58"/>
      <c r="J180" s="63">
        <v>-19000</v>
      </c>
      <c r="K180" s="58"/>
      <c r="L180" s="63">
        <v>-19000</v>
      </c>
      <c r="M180" s="58"/>
      <c r="N180" s="63">
        <v>-19000</v>
      </c>
      <c r="O180" s="58"/>
      <c r="P180" s="63">
        <v>-19000</v>
      </c>
      <c r="Q180" s="58"/>
      <c r="R180" s="63">
        <v>-19000</v>
      </c>
      <c r="S180" s="58"/>
      <c r="T180" s="63">
        <v>-19000</v>
      </c>
      <c r="U180" s="58"/>
    </row>
    <row r="181" spans="1:21" x14ac:dyDescent="0.35">
      <c r="A181" s="121" t="s">
        <v>142</v>
      </c>
      <c r="B181" s="137"/>
      <c r="C181" s="137"/>
      <c r="D181" s="137"/>
      <c r="E181" s="235">
        <v>0</v>
      </c>
      <c r="F181" s="235">
        <v>0</v>
      </c>
      <c r="G181" s="129">
        <v>-615</v>
      </c>
      <c r="H181" s="186"/>
      <c r="I181" s="129"/>
      <c r="J181" s="128"/>
      <c r="K181" s="129"/>
      <c r="L181" s="128"/>
      <c r="M181" s="129"/>
      <c r="N181" s="128"/>
      <c r="O181" s="129"/>
      <c r="P181" s="128"/>
      <c r="Q181" s="129"/>
      <c r="R181" s="128"/>
      <c r="S181" s="129"/>
      <c r="T181" s="128"/>
      <c r="U181" s="129"/>
    </row>
    <row r="182" spans="1:21" ht="20.5" customHeight="1" x14ac:dyDescent="0.35">
      <c r="A182" s="153" t="s">
        <v>16</v>
      </c>
      <c r="B182" s="65"/>
      <c r="C182" s="65"/>
      <c r="D182" s="65"/>
      <c r="E182" s="236">
        <f>E179+E180</f>
        <v>-184951.62</v>
      </c>
      <c r="F182" s="243">
        <f>SUM(F179:F181)</f>
        <v>-50525.17</v>
      </c>
      <c r="G182" s="251">
        <f>SUM(G179:G181)</f>
        <v>-46159.29</v>
      </c>
      <c r="H182" s="182">
        <f t="shared" ref="H182:U182" si="4">SUM(H179:H181)</f>
        <v>-53000</v>
      </c>
      <c r="I182" s="93">
        <f t="shared" si="4"/>
        <v>0</v>
      </c>
      <c r="J182" s="67">
        <f t="shared" si="4"/>
        <v>-53000</v>
      </c>
      <c r="K182" s="72">
        <f t="shared" si="4"/>
        <v>0</v>
      </c>
      <c r="L182" s="67">
        <f t="shared" si="4"/>
        <v>-53000</v>
      </c>
      <c r="M182" s="72">
        <f t="shared" si="4"/>
        <v>0</v>
      </c>
      <c r="N182" s="67">
        <f t="shared" si="4"/>
        <v>-53000</v>
      </c>
      <c r="O182" s="72">
        <f t="shared" si="4"/>
        <v>0</v>
      </c>
      <c r="P182" s="67">
        <f t="shared" si="4"/>
        <v>-53000</v>
      </c>
      <c r="Q182" s="72">
        <f t="shared" si="4"/>
        <v>0</v>
      </c>
      <c r="R182" s="67">
        <f t="shared" si="4"/>
        <v>-53000</v>
      </c>
      <c r="S182" s="72">
        <f t="shared" si="4"/>
        <v>0</v>
      </c>
      <c r="T182" s="67">
        <f t="shared" si="4"/>
        <v>-53000</v>
      </c>
      <c r="U182" s="72">
        <f t="shared" si="4"/>
        <v>0</v>
      </c>
    </row>
    <row r="183" spans="1:21" x14ac:dyDescent="0.35">
      <c r="A183" s="94"/>
      <c r="B183" s="46"/>
      <c r="C183" s="46"/>
      <c r="D183" s="53"/>
      <c r="E183" s="222"/>
      <c r="F183" s="169"/>
      <c r="G183" s="44"/>
      <c r="H183" s="174"/>
      <c r="I183" s="44"/>
      <c r="J183" s="45"/>
      <c r="K183" s="44"/>
      <c r="L183" s="45"/>
      <c r="M183" s="44"/>
      <c r="N183" s="45"/>
      <c r="O183" s="44"/>
      <c r="P183" s="45"/>
      <c r="Q183" s="44"/>
      <c r="R183" s="45"/>
      <c r="S183" s="44"/>
      <c r="T183" s="45"/>
      <c r="U183" s="44"/>
    </row>
    <row r="184" spans="1:21" ht="19" customHeight="1" x14ac:dyDescent="0.35">
      <c r="A184" s="254" t="s">
        <v>255</v>
      </c>
      <c r="B184" s="255"/>
      <c r="C184" s="255"/>
      <c r="D184" s="255"/>
      <c r="E184" s="224"/>
      <c r="F184" s="206"/>
      <c r="G184" s="155"/>
      <c r="H184" s="167"/>
      <c r="I184" s="155"/>
      <c r="J184" s="153"/>
      <c r="K184" s="155"/>
      <c r="L184" s="153"/>
      <c r="M184" s="155"/>
      <c r="N184" s="153"/>
      <c r="O184" s="155"/>
      <c r="P184" s="153"/>
      <c r="Q184" s="155"/>
      <c r="R184" s="153"/>
      <c r="S184" s="155"/>
      <c r="T184" s="153"/>
      <c r="U184" s="155"/>
    </row>
    <row r="185" spans="1:21" x14ac:dyDescent="0.35">
      <c r="A185" s="156" t="s">
        <v>24</v>
      </c>
      <c r="B185" s="75"/>
      <c r="D185" s="87"/>
      <c r="E185" s="241">
        <f>-5950*3</f>
        <v>-17850</v>
      </c>
      <c r="F185" s="207">
        <v>-5000</v>
      </c>
      <c r="G185" s="163">
        <v>-5000</v>
      </c>
      <c r="H185" s="159">
        <v>-5000</v>
      </c>
      <c r="I185" s="163"/>
      <c r="J185" s="159">
        <v>-5000</v>
      </c>
      <c r="K185" s="163"/>
      <c r="L185" s="159">
        <v>-5000</v>
      </c>
      <c r="M185" s="163"/>
      <c r="N185" s="159">
        <v>-5000</v>
      </c>
      <c r="O185" s="163"/>
      <c r="P185" s="159">
        <v>-5000</v>
      </c>
      <c r="Q185" s="158"/>
      <c r="R185" s="159">
        <v>-5000</v>
      </c>
      <c r="S185" s="163"/>
      <c r="T185" s="159">
        <v>-5000</v>
      </c>
      <c r="U185" s="158"/>
    </row>
    <row r="186" spans="1:21" x14ac:dyDescent="0.35">
      <c r="A186" s="94" t="s">
        <v>250</v>
      </c>
      <c r="B186" s="75"/>
      <c r="D186" s="87"/>
      <c r="E186" s="237"/>
      <c r="F186" s="208"/>
      <c r="G186" s="164"/>
      <c r="H186" s="160">
        <v>-500</v>
      </c>
      <c r="I186" s="164"/>
      <c r="J186" s="160">
        <v>-500</v>
      </c>
      <c r="K186" s="164"/>
      <c r="L186" s="160">
        <v>-500</v>
      </c>
      <c r="M186" s="164"/>
      <c r="N186" s="160">
        <v>-500</v>
      </c>
      <c r="O186" s="164"/>
      <c r="P186" s="160">
        <v>-500</v>
      </c>
      <c r="Q186" s="158"/>
      <c r="R186" s="160">
        <v>-500</v>
      </c>
      <c r="S186" s="164"/>
      <c r="T186" s="160">
        <v>-500</v>
      </c>
      <c r="U186" s="158"/>
    </row>
    <row r="187" spans="1:21" s="51" customFormat="1" x14ac:dyDescent="0.35">
      <c r="A187" s="94" t="s">
        <v>25</v>
      </c>
      <c r="E187" s="238"/>
      <c r="F187" s="95"/>
      <c r="G187" s="165"/>
      <c r="H187" s="188"/>
      <c r="I187" s="165"/>
      <c r="J187" s="161"/>
      <c r="K187" s="165"/>
      <c r="L187" s="161"/>
      <c r="M187" s="165"/>
      <c r="N187" s="161"/>
      <c r="O187" s="165"/>
      <c r="P187" s="161"/>
      <c r="Q187" s="95"/>
      <c r="R187" s="161"/>
      <c r="S187" s="165"/>
      <c r="T187" s="161"/>
      <c r="U187" s="95"/>
    </row>
    <row r="188" spans="1:21" s="51" customFormat="1" x14ac:dyDescent="0.35">
      <c r="A188" s="94" t="s">
        <v>26</v>
      </c>
      <c r="E188" s="238"/>
      <c r="F188" s="95"/>
      <c r="G188" s="165"/>
      <c r="H188" s="188"/>
      <c r="I188" s="165"/>
      <c r="J188" s="161"/>
      <c r="K188" s="165"/>
      <c r="L188" s="161"/>
      <c r="M188" s="165"/>
      <c r="N188" s="161"/>
      <c r="O188" s="165"/>
      <c r="P188" s="161"/>
      <c r="Q188" s="95"/>
      <c r="R188" s="161"/>
      <c r="S188" s="165"/>
      <c r="T188" s="161"/>
      <c r="U188" s="95"/>
    </row>
    <row r="189" spans="1:21" s="51" customFormat="1" x14ac:dyDescent="0.35">
      <c r="A189" s="121" t="s">
        <v>18</v>
      </c>
      <c r="B189" s="88"/>
      <c r="C189" s="88"/>
      <c r="D189" s="88"/>
      <c r="E189" s="241">
        <f>-(2033/4)</f>
        <v>-508.25</v>
      </c>
      <c r="F189" s="122"/>
      <c r="G189" s="166"/>
      <c r="H189" s="189"/>
      <c r="I189" s="166"/>
      <c r="J189" s="162"/>
      <c r="K189" s="166"/>
      <c r="L189" s="162"/>
      <c r="M189" s="166"/>
      <c r="N189" s="162"/>
      <c r="O189" s="166"/>
      <c r="P189" s="162"/>
      <c r="Q189" s="122"/>
      <c r="R189" s="162"/>
      <c r="S189" s="166"/>
      <c r="T189" s="162"/>
      <c r="U189" s="122"/>
    </row>
    <row r="190" spans="1:21" ht="31" customHeight="1" x14ac:dyDescent="0.35">
      <c r="A190" s="153" t="s">
        <v>252</v>
      </c>
      <c r="B190" s="65"/>
      <c r="C190" s="65"/>
      <c r="D190" s="65"/>
      <c r="E190" s="240">
        <f>SUM(E185+E189)</f>
        <v>-18358.25</v>
      </c>
      <c r="F190" s="243">
        <f>SUM(F185:F189)</f>
        <v>-5000</v>
      </c>
      <c r="G190" s="249">
        <f>SUM(G185:G189)</f>
        <v>-5000</v>
      </c>
      <c r="H190" s="190">
        <f t="shared" ref="H190:U190" si="5">SUM(H185:H189)</f>
        <v>-5500</v>
      </c>
      <c r="I190" s="104">
        <f t="shared" si="5"/>
        <v>0</v>
      </c>
      <c r="J190" s="103">
        <f t="shared" si="5"/>
        <v>-5500</v>
      </c>
      <c r="K190" s="97">
        <f t="shared" si="5"/>
        <v>0</v>
      </c>
      <c r="L190" s="103">
        <f t="shared" si="5"/>
        <v>-5500</v>
      </c>
      <c r="M190" s="97">
        <f t="shared" si="5"/>
        <v>0</v>
      </c>
      <c r="N190" s="103">
        <f t="shared" si="5"/>
        <v>-5500</v>
      </c>
      <c r="O190" s="97">
        <f t="shared" si="5"/>
        <v>0</v>
      </c>
      <c r="P190" s="103">
        <f t="shared" si="5"/>
        <v>-5500</v>
      </c>
      <c r="Q190" s="97">
        <f t="shared" si="5"/>
        <v>0</v>
      </c>
      <c r="R190" s="103">
        <f t="shared" si="5"/>
        <v>-5500</v>
      </c>
      <c r="S190" s="97">
        <f t="shared" si="5"/>
        <v>0</v>
      </c>
      <c r="T190" s="103">
        <f t="shared" si="5"/>
        <v>-5500</v>
      </c>
      <c r="U190" s="97">
        <f t="shared" si="5"/>
        <v>0</v>
      </c>
    </row>
    <row r="191" spans="1:21" ht="23.25" customHeight="1" x14ac:dyDescent="0.35">
      <c r="A191" s="154" t="s">
        <v>253</v>
      </c>
      <c r="B191" s="81"/>
      <c r="C191" s="81"/>
      <c r="D191" s="89"/>
      <c r="E191" s="240">
        <f t="shared" ref="E191:U191" si="6">E106+E177+E182</f>
        <v>-351635.19</v>
      </c>
      <c r="F191" s="242">
        <f t="shared" si="6"/>
        <v>-132447.89500000002</v>
      </c>
      <c r="G191" s="250">
        <f t="shared" si="6"/>
        <v>-94068.505499999999</v>
      </c>
      <c r="H191" s="191">
        <f t="shared" si="6"/>
        <v>-136018.85649999999</v>
      </c>
      <c r="I191" s="97">
        <f t="shared" si="6"/>
        <v>0</v>
      </c>
      <c r="J191" s="96">
        <f t="shared" si="6"/>
        <v>-116846.36</v>
      </c>
      <c r="K191" s="97">
        <f t="shared" si="6"/>
        <v>0</v>
      </c>
      <c r="L191" s="96">
        <f t="shared" si="6"/>
        <v>-117446.36</v>
      </c>
      <c r="M191" s="97">
        <f t="shared" si="6"/>
        <v>0</v>
      </c>
      <c r="N191" s="96">
        <f t="shared" si="6"/>
        <v>-119696.36</v>
      </c>
      <c r="O191" s="97">
        <f t="shared" si="6"/>
        <v>0</v>
      </c>
      <c r="P191" s="96">
        <f t="shared" si="6"/>
        <v>-121215.05</v>
      </c>
      <c r="Q191" s="97">
        <f t="shared" si="6"/>
        <v>0</v>
      </c>
      <c r="R191" s="96">
        <f t="shared" si="6"/>
        <v>-117456.36</v>
      </c>
      <c r="S191" s="97">
        <f t="shared" si="6"/>
        <v>0</v>
      </c>
      <c r="T191" s="96">
        <f t="shared" si="6"/>
        <v>-117196.36</v>
      </c>
      <c r="U191" s="97">
        <f t="shared" si="6"/>
        <v>0</v>
      </c>
    </row>
    <row r="192" spans="1:21" ht="24.75" customHeight="1" x14ac:dyDescent="0.35">
      <c r="A192" s="157" t="s">
        <v>27</v>
      </c>
      <c r="B192" s="82"/>
      <c r="C192" s="82"/>
      <c r="D192" s="82"/>
      <c r="E192" s="239">
        <f>E98+E191</f>
        <v>-47083.77999999997</v>
      </c>
      <c r="F192" s="239">
        <f>F98+F191</f>
        <v>70125.525000000081</v>
      </c>
      <c r="G192" s="249">
        <f>G98+G106+G177+G182+G190+G183-G190</f>
        <v>30320.914500000006</v>
      </c>
      <c r="H192" s="192">
        <f t="shared" ref="H192:U192" si="7">H98+H106+H177+H182</f>
        <v>122892.16350000005</v>
      </c>
      <c r="I192" s="99">
        <f t="shared" si="7"/>
        <v>11248.03</v>
      </c>
      <c r="J192" s="98">
        <f t="shared" si="7"/>
        <v>7796.6399999999994</v>
      </c>
      <c r="K192" s="99">
        <f t="shared" si="7"/>
        <v>0</v>
      </c>
      <c r="L192" s="98">
        <f t="shared" si="7"/>
        <v>7196.6399999999994</v>
      </c>
      <c r="M192" s="99">
        <f t="shared" si="7"/>
        <v>0</v>
      </c>
      <c r="N192" s="98">
        <f t="shared" si="7"/>
        <v>4946.6399999999994</v>
      </c>
      <c r="O192" s="99">
        <f t="shared" si="7"/>
        <v>0</v>
      </c>
      <c r="P192" s="98">
        <f t="shared" si="7"/>
        <v>3427.9499999999971</v>
      </c>
      <c r="Q192" s="99">
        <f t="shared" si="7"/>
        <v>0</v>
      </c>
      <c r="R192" s="98">
        <f t="shared" si="7"/>
        <v>7186.6399999999994</v>
      </c>
      <c r="S192" s="99">
        <f t="shared" si="7"/>
        <v>0</v>
      </c>
      <c r="T192" s="98">
        <f t="shared" si="7"/>
        <v>7446.6399999999994</v>
      </c>
      <c r="U192" s="99">
        <f t="shared" ca="1" si="7"/>
        <v>0</v>
      </c>
    </row>
    <row r="195" spans="9:9" x14ac:dyDescent="0.35">
      <c r="I195" s="64"/>
    </row>
  </sheetData>
  <mergeCells count="4">
    <mergeCell ref="A184:D184"/>
    <mergeCell ref="F1:U1"/>
    <mergeCell ref="A1:D1"/>
    <mergeCell ref="A99:D99"/>
  </mergeCells>
  <phoneticPr fontId="14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23" fitToWidth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72"/>
  <sheetViews>
    <sheetView workbookViewId="0">
      <selection activeCell="H27" sqref="H27"/>
    </sheetView>
  </sheetViews>
  <sheetFormatPr baseColWidth="10" defaultRowHeight="14.5" outlineLevelRow="1" x14ac:dyDescent="0.35"/>
  <cols>
    <col min="1" max="1" width="3" customWidth="1"/>
    <col min="2" max="2" width="32.453125" bestFit="1" customWidth="1"/>
    <col min="3" max="3" width="42.81640625" bestFit="1" customWidth="1"/>
    <col min="4" max="4" width="16.26953125" style="22" bestFit="1" customWidth="1"/>
    <col min="5" max="5" width="14" bestFit="1" customWidth="1"/>
    <col min="6" max="6" width="10.81640625" bestFit="1" customWidth="1"/>
    <col min="7" max="7" width="10.54296875" bestFit="1" customWidth="1"/>
    <col min="8" max="8" width="10" bestFit="1" customWidth="1"/>
    <col min="9" max="9" width="10.54296875" bestFit="1" customWidth="1"/>
    <col min="10" max="10" width="11.54296875" bestFit="1" customWidth="1"/>
    <col min="11" max="12" width="10.54296875" bestFit="1" customWidth="1"/>
    <col min="13" max="13" width="9.54296875" bestFit="1" customWidth="1"/>
    <col min="14" max="14" width="12.54296875" bestFit="1" customWidth="1"/>
    <col min="15" max="15" width="12.26953125" bestFit="1" customWidth="1"/>
    <col min="16" max="16" width="16.1796875" bestFit="1" customWidth="1"/>
    <col min="17" max="17" width="15.7265625" bestFit="1" customWidth="1"/>
    <col min="18" max="18" width="13.7265625" bestFit="1" customWidth="1"/>
    <col min="19" max="19" width="13.453125" bestFit="1" customWidth="1"/>
    <col min="20" max="20" width="15.54296875" bestFit="1" customWidth="1"/>
    <col min="21" max="22" width="15.26953125" bestFit="1" customWidth="1"/>
    <col min="23" max="23" width="15" bestFit="1" customWidth="1"/>
    <col min="24" max="24" width="12.1796875" bestFit="1" customWidth="1"/>
  </cols>
  <sheetData>
    <row r="1" spans="1:24" s="10" customFormat="1" ht="23.25" customHeight="1" outlineLevel="1" thickBot="1" x14ac:dyDescent="0.35">
      <c r="A1" s="9"/>
      <c r="C1" s="11"/>
      <c r="D1" s="11"/>
      <c r="E1" s="12"/>
      <c r="F1" s="37" t="s">
        <v>177</v>
      </c>
      <c r="G1" s="38" t="s">
        <v>178</v>
      </c>
      <c r="H1" s="39" t="s">
        <v>179</v>
      </c>
      <c r="I1" s="39" t="s">
        <v>180</v>
      </c>
      <c r="J1" s="38" t="s">
        <v>181</v>
      </c>
      <c r="K1" s="38" t="s">
        <v>182</v>
      </c>
      <c r="L1" s="39" t="s">
        <v>183</v>
      </c>
      <c r="M1" s="39" t="s">
        <v>184</v>
      </c>
      <c r="N1" s="38" t="s">
        <v>185</v>
      </c>
      <c r="O1" s="38" t="s">
        <v>186</v>
      </c>
      <c r="P1" s="39" t="s">
        <v>194</v>
      </c>
      <c r="Q1" s="39" t="s">
        <v>187</v>
      </c>
      <c r="R1" s="38" t="s">
        <v>188</v>
      </c>
      <c r="S1" s="38" t="s">
        <v>189</v>
      </c>
      <c r="T1" s="39" t="s">
        <v>190</v>
      </c>
      <c r="U1" s="39" t="s">
        <v>191</v>
      </c>
      <c r="V1" s="38" t="s">
        <v>192</v>
      </c>
      <c r="W1" s="40" t="s">
        <v>193</v>
      </c>
      <c r="X1" s="16" t="s">
        <v>6</v>
      </c>
    </row>
    <row r="2" spans="1:24" s="1" customFormat="1" ht="13" x14ac:dyDescent="0.3">
      <c r="A2" s="6"/>
      <c r="B2" s="2" t="s">
        <v>82</v>
      </c>
      <c r="C2" s="2" t="s">
        <v>83</v>
      </c>
      <c r="D2" s="21" t="s">
        <v>239</v>
      </c>
      <c r="E2" s="2" t="s">
        <v>84</v>
      </c>
      <c r="F2" s="34"/>
      <c r="G2" s="35"/>
      <c r="H2" s="26"/>
      <c r="I2" s="35"/>
      <c r="J2" s="26"/>
      <c r="K2" s="35"/>
      <c r="L2" s="26"/>
      <c r="M2" s="35"/>
      <c r="N2" s="26"/>
      <c r="O2" s="35"/>
      <c r="P2" s="26"/>
      <c r="Q2" s="36"/>
      <c r="R2" s="26"/>
      <c r="S2" s="36"/>
      <c r="T2" s="26"/>
      <c r="U2" s="27"/>
      <c r="V2" s="31"/>
      <c r="W2" s="27"/>
      <c r="X2" s="7"/>
    </row>
    <row r="3" spans="1:24" s="1" customFormat="1" x14ac:dyDescent="0.35">
      <c r="A3" s="6"/>
      <c r="B3" s="13"/>
      <c r="C3" s="15"/>
      <c r="D3" s="20"/>
      <c r="E3" s="14"/>
      <c r="F3" s="8"/>
      <c r="G3" s="3"/>
      <c r="H3" s="4"/>
      <c r="I3" s="3"/>
      <c r="J3" s="4"/>
      <c r="K3" s="3"/>
      <c r="L3" s="4"/>
      <c r="M3" s="3"/>
      <c r="N3" s="4"/>
      <c r="O3" s="3"/>
      <c r="P3" s="4"/>
      <c r="Q3" s="18"/>
      <c r="R3" s="4"/>
      <c r="S3" s="18"/>
      <c r="T3" s="4"/>
      <c r="U3" s="28"/>
      <c r="V3" s="32"/>
      <c r="W3" s="28"/>
      <c r="X3" s="7"/>
    </row>
    <row r="4" spans="1:24" s="1" customFormat="1" x14ac:dyDescent="0.35">
      <c r="A4" s="6"/>
      <c r="B4" s="13" t="s">
        <v>103</v>
      </c>
      <c r="C4" s="15" t="s">
        <v>104</v>
      </c>
      <c r="D4" s="20" t="s">
        <v>240</v>
      </c>
      <c r="E4" s="17" t="s">
        <v>109</v>
      </c>
      <c r="F4" s="8">
        <v>577.1</v>
      </c>
      <c r="H4" s="4"/>
      <c r="I4" s="3">
        <f>F4*0.3</f>
        <v>173.13</v>
      </c>
      <c r="J4" s="4"/>
      <c r="K4" s="3"/>
      <c r="L4" s="4"/>
      <c r="M4" s="3"/>
      <c r="N4" s="4"/>
      <c r="O4" s="3"/>
      <c r="P4" s="4"/>
      <c r="Q4" s="18"/>
      <c r="R4" s="4"/>
      <c r="S4" s="18"/>
      <c r="T4" s="4"/>
      <c r="U4" s="28"/>
      <c r="V4" s="32"/>
      <c r="W4" s="28"/>
      <c r="X4" s="7"/>
    </row>
    <row r="5" spans="1:24" s="1" customFormat="1" x14ac:dyDescent="0.35">
      <c r="A5" s="6"/>
      <c r="B5" s="13" t="s">
        <v>103</v>
      </c>
      <c r="C5" s="15" t="s">
        <v>105</v>
      </c>
      <c r="D5" s="20" t="s">
        <v>240</v>
      </c>
      <c r="E5" s="17" t="s">
        <v>109</v>
      </c>
      <c r="F5" s="8">
        <v>1152</v>
      </c>
      <c r="H5" s="4"/>
      <c r="I5" s="3">
        <f t="shared" ref="I5:I9" si="0">F5*0.3</f>
        <v>345.59999999999997</v>
      </c>
      <c r="J5" s="4"/>
      <c r="K5" s="3"/>
      <c r="L5" s="4"/>
      <c r="M5" s="3"/>
      <c r="N5" s="4"/>
      <c r="O5" s="3"/>
      <c r="P5" s="4"/>
      <c r="Q5" s="18"/>
      <c r="R5" s="4"/>
      <c r="S5" s="18"/>
      <c r="T5" s="4"/>
      <c r="U5" s="28"/>
      <c r="V5" s="32"/>
      <c r="W5" s="28"/>
      <c r="X5" s="7"/>
    </row>
    <row r="6" spans="1:24" s="1" customFormat="1" x14ac:dyDescent="0.35">
      <c r="A6" s="6"/>
      <c r="B6" s="13" t="s">
        <v>103</v>
      </c>
      <c r="C6" s="15" t="s">
        <v>106</v>
      </c>
      <c r="D6" s="20" t="s">
        <v>240</v>
      </c>
      <c r="E6" s="17" t="s">
        <v>109</v>
      </c>
      <c r="F6" s="8">
        <v>3356.23</v>
      </c>
      <c r="H6" s="4"/>
      <c r="I6" s="3">
        <f t="shared" si="0"/>
        <v>1006.8689999999999</v>
      </c>
      <c r="J6" s="4"/>
      <c r="K6" s="3"/>
      <c r="L6" s="4"/>
      <c r="M6" s="3"/>
      <c r="N6" s="4"/>
      <c r="O6" s="3"/>
      <c r="P6" s="4"/>
      <c r="Q6" s="18"/>
      <c r="R6" s="4"/>
      <c r="S6" s="18"/>
      <c r="T6" s="4"/>
      <c r="U6" s="28"/>
      <c r="V6" s="32"/>
      <c r="W6" s="28"/>
      <c r="X6" s="7"/>
    </row>
    <row r="7" spans="1:24" s="1" customFormat="1" x14ac:dyDescent="0.35">
      <c r="A7" s="6"/>
      <c r="B7" s="13" t="s">
        <v>103</v>
      </c>
      <c r="C7" s="15">
        <v>2200502</v>
      </c>
      <c r="D7" s="20" t="s">
        <v>240</v>
      </c>
      <c r="E7" s="17" t="s">
        <v>109</v>
      </c>
      <c r="F7" s="8">
        <v>127.45</v>
      </c>
      <c r="H7" s="4"/>
      <c r="I7" s="3">
        <f t="shared" si="0"/>
        <v>38.234999999999999</v>
      </c>
      <c r="J7" s="4"/>
      <c r="K7" s="3"/>
      <c r="L7" s="4"/>
      <c r="M7" s="3"/>
      <c r="N7" s="4"/>
      <c r="O7" s="3"/>
      <c r="P7" s="4"/>
      <c r="Q7" s="18"/>
      <c r="R7" s="4"/>
      <c r="S7" s="18"/>
      <c r="T7" s="4"/>
      <c r="U7" s="28"/>
      <c r="V7" s="32"/>
      <c r="W7" s="28"/>
      <c r="X7" s="7"/>
    </row>
    <row r="8" spans="1:24" s="1" customFormat="1" x14ac:dyDescent="0.35">
      <c r="A8" s="6"/>
      <c r="B8" s="13" t="s">
        <v>103</v>
      </c>
      <c r="C8" s="19">
        <v>2200494</v>
      </c>
      <c r="D8" s="20" t="s">
        <v>240</v>
      </c>
      <c r="E8" s="17" t="s">
        <v>109</v>
      </c>
      <c r="F8" s="8">
        <v>622.66999999999996</v>
      </c>
      <c r="H8" s="4"/>
      <c r="I8" s="3">
        <f t="shared" si="0"/>
        <v>186.80099999999999</v>
      </c>
      <c r="J8" s="4"/>
      <c r="K8" s="3"/>
      <c r="L8" s="4"/>
      <c r="M8" s="3"/>
      <c r="N8" s="4"/>
      <c r="O8" s="3"/>
      <c r="P8" s="4"/>
      <c r="Q8" s="18"/>
      <c r="R8" s="4"/>
      <c r="S8" s="18"/>
      <c r="T8" s="4"/>
      <c r="U8" s="28"/>
      <c r="V8" s="32"/>
      <c r="W8" s="28"/>
      <c r="X8" s="7"/>
    </row>
    <row r="9" spans="1:24" s="1" customFormat="1" x14ac:dyDescent="0.35">
      <c r="A9" s="6"/>
      <c r="B9" s="13" t="s">
        <v>103</v>
      </c>
      <c r="C9" s="19">
        <v>2200503</v>
      </c>
      <c r="D9" s="20" t="s">
        <v>240</v>
      </c>
      <c r="E9" s="17" t="s">
        <v>109</v>
      </c>
      <c r="F9" s="8">
        <v>521.07000000000005</v>
      </c>
      <c r="H9" s="4"/>
      <c r="I9" s="3">
        <f t="shared" si="0"/>
        <v>156.321</v>
      </c>
      <c r="J9" s="4"/>
      <c r="K9" s="3"/>
      <c r="L9" s="4"/>
      <c r="M9" s="3"/>
      <c r="N9" s="4"/>
      <c r="O9" s="3"/>
      <c r="P9" s="4"/>
      <c r="Q9" s="18"/>
      <c r="R9" s="4"/>
      <c r="S9" s="18"/>
      <c r="T9" s="4"/>
      <c r="U9" s="28"/>
      <c r="V9" s="32"/>
      <c r="W9" s="28"/>
      <c r="X9" s="7"/>
    </row>
    <row r="10" spans="1:24" s="1" customFormat="1" x14ac:dyDescent="0.35">
      <c r="A10" s="6"/>
      <c r="B10" s="13" t="s">
        <v>103</v>
      </c>
      <c r="C10" s="19" t="s">
        <v>153</v>
      </c>
      <c r="D10" s="20" t="s">
        <v>240</v>
      </c>
      <c r="E10" s="17" t="s">
        <v>109</v>
      </c>
      <c r="F10" s="8"/>
      <c r="H10" s="4">
        <v>2126.83</v>
      </c>
      <c r="I10" s="3">
        <f>H10*0.3</f>
        <v>638.04899999999998</v>
      </c>
      <c r="J10" s="4"/>
      <c r="K10" s="3"/>
      <c r="L10" s="4"/>
      <c r="M10" s="3"/>
      <c r="N10" s="4"/>
      <c r="O10" s="3"/>
      <c r="P10" s="4"/>
      <c r="Q10" s="18"/>
      <c r="R10" s="4"/>
      <c r="S10" s="18"/>
      <c r="T10" s="4"/>
      <c r="U10" s="28"/>
      <c r="V10" s="32"/>
      <c r="W10" s="28"/>
      <c r="X10" s="7"/>
    </row>
    <row r="11" spans="1:24" s="1" customFormat="1" x14ac:dyDescent="0.35">
      <c r="A11" s="6"/>
      <c r="B11" s="13" t="s">
        <v>103</v>
      </c>
      <c r="C11" s="19" t="s">
        <v>155</v>
      </c>
      <c r="D11" s="20" t="s">
        <v>240</v>
      </c>
      <c r="E11" s="17" t="s">
        <v>109</v>
      </c>
      <c r="F11" s="8"/>
      <c r="H11" s="4">
        <v>992</v>
      </c>
      <c r="I11" s="3">
        <f>H11*0.3</f>
        <v>297.59999999999997</v>
      </c>
      <c r="J11" s="4"/>
      <c r="K11" s="3"/>
      <c r="L11" s="4"/>
      <c r="M11" s="3"/>
      <c r="N11" s="4"/>
      <c r="O11" s="3"/>
      <c r="P11" s="4"/>
      <c r="Q11" s="18"/>
      <c r="R11" s="4"/>
      <c r="S11" s="18"/>
      <c r="T11" s="4"/>
      <c r="U11" s="28"/>
      <c r="V11" s="32"/>
      <c r="W11" s="28"/>
      <c r="X11" s="7"/>
    </row>
    <row r="12" spans="1:24" s="1" customFormat="1" x14ac:dyDescent="0.35">
      <c r="A12" s="6"/>
      <c r="B12" s="13" t="s">
        <v>103</v>
      </c>
      <c r="C12" s="19" t="s">
        <v>154</v>
      </c>
      <c r="D12" s="20" t="s">
        <v>240</v>
      </c>
      <c r="E12" s="17" t="s">
        <v>109</v>
      </c>
      <c r="F12" s="8"/>
      <c r="H12" s="4">
        <v>1396</v>
      </c>
      <c r="I12" s="3">
        <f>H12*0.3</f>
        <v>418.8</v>
      </c>
      <c r="J12" s="4"/>
      <c r="K12" s="3"/>
      <c r="L12" s="4"/>
      <c r="M12" s="3"/>
      <c r="N12" s="4"/>
      <c r="O12" s="3"/>
      <c r="P12" s="4"/>
      <c r="Q12" s="18"/>
      <c r="R12" s="4"/>
      <c r="S12" s="18"/>
      <c r="T12" s="4"/>
      <c r="U12" s="28"/>
      <c r="V12" s="32"/>
      <c r="W12" s="28"/>
      <c r="X12" s="7"/>
    </row>
    <row r="13" spans="1:24" s="1" customFormat="1" x14ac:dyDescent="0.35">
      <c r="A13" s="6"/>
      <c r="B13" s="13" t="s">
        <v>107</v>
      </c>
      <c r="C13" s="15" t="s">
        <v>108</v>
      </c>
      <c r="D13" s="20" t="s">
        <v>240</v>
      </c>
      <c r="E13" s="17" t="s">
        <v>109</v>
      </c>
      <c r="F13" s="8">
        <v>6646.32</v>
      </c>
      <c r="H13" s="4"/>
      <c r="I13" s="3">
        <f>F13*0.3</f>
        <v>1993.8959999999997</v>
      </c>
      <c r="J13" s="4"/>
      <c r="K13" s="3"/>
      <c r="L13" s="4"/>
      <c r="M13" s="3"/>
      <c r="N13" s="4"/>
      <c r="O13" s="3"/>
      <c r="P13" s="4"/>
      <c r="Q13" s="18"/>
      <c r="R13" s="4"/>
      <c r="S13" s="18"/>
      <c r="T13" s="4"/>
      <c r="U13" s="28"/>
      <c r="V13" s="32"/>
      <c r="W13" s="28"/>
      <c r="X13" s="7"/>
    </row>
    <row r="14" spans="1:24" s="1" customFormat="1" ht="14.25" customHeight="1" x14ac:dyDescent="0.35">
      <c r="A14" s="6"/>
      <c r="B14" s="13" t="s">
        <v>166</v>
      </c>
      <c r="C14" s="15" t="s">
        <v>167</v>
      </c>
      <c r="D14" s="20" t="s">
        <v>240</v>
      </c>
      <c r="E14" s="17" t="s">
        <v>109</v>
      </c>
      <c r="F14" s="8"/>
      <c r="G14" s="3"/>
      <c r="H14" s="4">
        <v>1654</v>
      </c>
      <c r="I14" s="3">
        <f>H14*0.3</f>
        <v>496.2</v>
      </c>
      <c r="J14" s="18"/>
      <c r="K14" s="3"/>
      <c r="L14" s="4"/>
      <c r="M14" s="3"/>
      <c r="N14" s="4"/>
      <c r="O14" s="3"/>
      <c r="P14" s="4"/>
      <c r="Q14" s="18"/>
      <c r="R14" s="4"/>
      <c r="S14" s="18"/>
      <c r="T14" s="4"/>
      <c r="U14" s="28"/>
      <c r="V14" s="32"/>
      <c r="W14" s="28"/>
      <c r="X14" s="7"/>
    </row>
    <row r="15" spans="1:24" s="1" customFormat="1" ht="14.25" customHeight="1" x14ac:dyDescent="0.35">
      <c r="A15" s="6"/>
      <c r="B15" s="13" t="s">
        <v>173</v>
      </c>
      <c r="C15" s="15" t="s">
        <v>174</v>
      </c>
      <c r="D15" s="20" t="s">
        <v>240</v>
      </c>
      <c r="E15" s="17" t="s">
        <v>109</v>
      </c>
      <c r="F15" s="8"/>
      <c r="G15" s="3"/>
      <c r="H15" s="4">
        <v>1272.0999999999999</v>
      </c>
      <c r="I15" s="3">
        <f>H15*0.3</f>
        <v>381.62999999999994</v>
      </c>
      <c r="J15" s="4"/>
      <c r="K15" s="3"/>
      <c r="L15" s="4"/>
      <c r="M15" s="3"/>
      <c r="N15" s="4"/>
      <c r="O15" s="3"/>
      <c r="P15" s="4"/>
      <c r="Q15" s="18"/>
      <c r="R15" s="4"/>
      <c r="S15" s="18"/>
      <c r="T15" s="4"/>
      <c r="U15" s="28"/>
      <c r="V15" s="32"/>
      <c r="W15" s="28"/>
      <c r="X15" s="7"/>
    </row>
    <row r="16" spans="1:24" s="1" customFormat="1" x14ac:dyDescent="0.35">
      <c r="A16" s="6"/>
      <c r="B16" s="13" t="s">
        <v>224</v>
      </c>
      <c r="C16" s="15" t="s">
        <v>225</v>
      </c>
      <c r="D16" s="20" t="s">
        <v>240</v>
      </c>
      <c r="E16" s="17" t="s">
        <v>109</v>
      </c>
      <c r="F16" s="8"/>
      <c r="G16" s="3"/>
      <c r="H16" s="4">
        <v>126.98</v>
      </c>
      <c r="I16" s="3">
        <f>H16*0.3</f>
        <v>38.094000000000001</v>
      </c>
      <c r="J16" s="18"/>
      <c r="K16" s="3"/>
      <c r="L16" s="4"/>
      <c r="M16" s="3"/>
      <c r="N16" s="4"/>
      <c r="O16" s="3"/>
      <c r="P16" s="4"/>
      <c r="Q16" s="18"/>
      <c r="R16" s="4"/>
      <c r="S16" s="18"/>
      <c r="T16" s="4"/>
      <c r="U16" s="28"/>
      <c r="V16" s="32"/>
      <c r="W16" s="28"/>
      <c r="X16" s="7"/>
    </row>
    <row r="17" spans="1:24" s="1" customFormat="1" x14ac:dyDescent="0.35">
      <c r="A17" s="6"/>
      <c r="B17" s="13" t="s">
        <v>226</v>
      </c>
      <c r="C17" s="15" t="s">
        <v>227</v>
      </c>
      <c r="D17" s="20" t="s">
        <v>240</v>
      </c>
      <c r="E17" s="17" t="s">
        <v>109</v>
      </c>
      <c r="F17" s="8"/>
      <c r="G17" s="3"/>
      <c r="H17" s="4">
        <v>55.99</v>
      </c>
      <c r="I17" s="3">
        <f>H17*0.3</f>
        <v>16.797000000000001</v>
      </c>
      <c r="J17" s="18"/>
      <c r="K17" s="3"/>
      <c r="L17" s="4"/>
      <c r="M17" s="3"/>
      <c r="N17" s="4"/>
      <c r="O17" s="3"/>
      <c r="P17" s="4"/>
      <c r="Q17" s="18"/>
      <c r="R17" s="4"/>
      <c r="S17" s="18"/>
      <c r="T17" s="4"/>
      <c r="U17" s="28"/>
      <c r="V17" s="32"/>
      <c r="W17" s="28"/>
      <c r="X17" s="7"/>
    </row>
    <row r="18" spans="1:24" s="1" customFormat="1" x14ac:dyDescent="0.35">
      <c r="A18" s="6"/>
      <c r="B18" s="13" t="s">
        <v>202</v>
      </c>
      <c r="C18" s="15" t="s">
        <v>203</v>
      </c>
      <c r="D18" s="20" t="s">
        <v>240</v>
      </c>
      <c r="E18" s="17" t="s">
        <v>109</v>
      </c>
      <c r="F18" s="8"/>
      <c r="G18" s="3"/>
      <c r="H18" s="4">
        <v>660</v>
      </c>
      <c r="I18" s="3">
        <f t="shared" ref="I18:I19" si="1">H18*0.3</f>
        <v>198</v>
      </c>
      <c r="J18" s="4"/>
      <c r="K18" s="3"/>
      <c r="L18" s="4"/>
      <c r="M18" s="3"/>
      <c r="N18" s="4"/>
      <c r="O18" s="3"/>
      <c r="P18" s="4"/>
      <c r="Q18" s="18"/>
      <c r="R18" s="4"/>
      <c r="S18" s="18"/>
      <c r="T18" s="4"/>
      <c r="U18" s="28"/>
      <c r="V18" s="32"/>
      <c r="W18" s="28"/>
      <c r="X18" s="7"/>
    </row>
    <row r="19" spans="1:24" s="1" customFormat="1" x14ac:dyDescent="0.35">
      <c r="A19" s="6"/>
      <c r="B19" s="13" t="s">
        <v>229</v>
      </c>
      <c r="C19" s="15" t="s">
        <v>230</v>
      </c>
      <c r="D19" s="20" t="s">
        <v>240</v>
      </c>
      <c r="E19" s="17" t="s">
        <v>109</v>
      </c>
      <c r="F19" s="8"/>
      <c r="G19" s="3"/>
      <c r="H19" s="4">
        <v>49.98</v>
      </c>
      <c r="I19" s="3">
        <f t="shared" si="1"/>
        <v>14.993999999999998</v>
      </c>
      <c r="J19" s="4"/>
      <c r="K19" s="3"/>
      <c r="L19" s="4"/>
      <c r="M19" s="3"/>
      <c r="N19" s="4"/>
      <c r="O19" s="3"/>
      <c r="P19" s="4"/>
      <c r="Q19" s="18"/>
      <c r="R19" s="4"/>
      <c r="S19" s="18"/>
      <c r="T19" s="4"/>
      <c r="U19" s="28"/>
      <c r="V19" s="32"/>
      <c r="W19" s="28"/>
      <c r="X19" s="7"/>
    </row>
    <row r="20" spans="1:24" s="1" customFormat="1" x14ac:dyDescent="0.35">
      <c r="A20" s="6"/>
      <c r="B20" s="13"/>
      <c r="C20" s="15"/>
      <c r="D20" s="20"/>
      <c r="E20" s="14"/>
      <c r="F20" s="8"/>
      <c r="G20" s="3"/>
      <c r="H20" s="4"/>
      <c r="I20" s="3"/>
      <c r="J20" s="4"/>
      <c r="K20" s="3"/>
      <c r="L20" s="4"/>
      <c r="M20" s="3"/>
      <c r="N20" s="4"/>
      <c r="O20" s="3"/>
      <c r="P20" s="4"/>
      <c r="Q20" s="18"/>
      <c r="R20" s="4"/>
      <c r="S20" s="18"/>
      <c r="T20" s="4"/>
      <c r="U20" s="28"/>
      <c r="V20" s="32"/>
      <c r="W20" s="28"/>
      <c r="X20" s="7"/>
    </row>
    <row r="21" spans="1:24" s="1" customFormat="1" x14ac:dyDescent="0.35">
      <c r="A21" s="6"/>
      <c r="B21" s="2" t="s">
        <v>110</v>
      </c>
      <c r="C21" s="15"/>
      <c r="D21" s="20"/>
      <c r="E21" s="14"/>
      <c r="F21" s="8"/>
      <c r="G21" s="3"/>
      <c r="H21" s="4"/>
      <c r="I21" s="3"/>
      <c r="J21" s="4"/>
      <c r="K21" s="3"/>
      <c r="L21" s="4"/>
      <c r="M21" s="3"/>
      <c r="N21" s="4"/>
      <c r="O21" s="3"/>
      <c r="P21" s="4"/>
      <c r="Q21" s="18"/>
      <c r="R21" s="4"/>
      <c r="S21" s="18"/>
      <c r="T21" s="4"/>
      <c r="U21" s="28"/>
      <c r="V21" s="32"/>
      <c r="W21" s="28"/>
      <c r="X21" s="7"/>
    </row>
    <row r="22" spans="1:24" s="1" customFormat="1" x14ac:dyDescent="0.35">
      <c r="A22" s="6"/>
      <c r="B22" s="2"/>
      <c r="C22" s="15"/>
      <c r="D22" s="20"/>
      <c r="E22" s="14"/>
      <c r="F22" s="8"/>
      <c r="G22" s="3"/>
      <c r="H22" s="4"/>
      <c r="I22" s="3"/>
      <c r="J22" s="4"/>
      <c r="K22" s="3"/>
      <c r="L22" s="4"/>
      <c r="M22" s="3"/>
      <c r="N22" s="4"/>
      <c r="O22" s="3"/>
      <c r="P22" s="4"/>
      <c r="Q22" s="18"/>
      <c r="R22" s="4"/>
      <c r="S22" s="18"/>
      <c r="T22" s="4"/>
      <c r="U22" s="28"/>
      <c r="V22" s="32"/>
      <c r="W22" s="28"/>
      <c r="X22" s="7"/>
    </row>
    <row r="23" spans="1:24" s="1" customFormat="1" x14ac:dyDescent="0.35">
      <c r="A23" s="6"/>
      <c r="B23" s="13"/>
      <c r="C23" s="15"/>
      <c r="D23" s="20"/>
      <c r="E23" s="17"/>
      <c r="F23" s="8"/>
      <c r="G23" s="3"/>
      <c r="H23" s="4"/>
      <c r="I23" s="3"/>
      <c r="J23" s="4"/>
      <c r="K23" s="3"/>
      <c r="L23" s="4"/>
      <c r="M23" s="3"/>
      <c r="N23" s="4"/>
      <c r="O23" s="3"/>
      <c r="P23" s="4"/>
      <c r="Q23" s="18"/>
      <c r="R23" s="4"/>
      <c r="S23" s="18"/>
      <c r="T23" s="4"/>
      <c r="U23" s="28"/>
      <c r="V23" s="32"/>
      <c r="W23" s="28"/>
      <c r="X23" s="7"/>
    </row>
    <row r="24" spans="1:24" s="1" customFormat="1" x14ac:dyDescent="0.35">
      <c r="A24" s="6"/>
      <c r="B24" s="13" t="s">
        <v>80</v>
      </c>
      <c r="C24" s="15">
        <v>2200321</v>
      </c>
      <c r="D24" s="20" t="s">
        <v>195</v>
      </c>
      <c r="E24" s="17" t="s">
        <v>109</v>
      </c>
      <c r="F24" s="8"/>
      <c r="G24" s="3"/>
      <c r="H24" s="4"/>
      <c r="I24" s="3"/>
      <c r="J24" s="4">
        <v>36928.910000000003</v>
      </c>
      <c r="K24" s="3">
        <f>(1518+1546+1472)*1.19</f>
        <v>5397.84</v>
      </c>
      <c r="L24" s="4"/>
      <c r="M24" s="3"/>
      <c r="N24" s="4"/>
      <c r="O24" s="3"/>
      <c r="P24" s="4"/>
      <c r="Q24" s="18"/>
      <c r="R24" s="4"/>
      <c r="S24" s="18"/>
      <c r="T24" s="4"/>
      <c r="U24" s="28"/>
      <c r="V24" s="32"/>
      <c r="W24" s="28"/>
      <c r="X24" s="7"/>
    </row>
    <row r="25" spans="1:24" s="1" customFormat="1" x14ac:dyDescent="0.35">
      <c r="A25" s="6"/>
      <c r="B25" s="13" t="s">
        <v>118</v>
      </c>
      <c r="C25" s="15">
        <v>2200450</v>
      </c>
      <c r="D25" s="20" t="s">
        <v>240</v>
      </c>
      <c r="E25" s="17" t="s">
        <v>109</v>
      </c>
      <c r="F25" s="8"/>
      <c r="G25" s="3"/>
      <c r="H25" s="4"/>
      <c r="I25" s="3">
        <f>J25*0.3</f>
        <v>1097.643</v>
      </c>
      <c r="J25" s="4">
        <f>4342.35-683.54</f>
        <v>3658.8100000000004</v>
      </c>
      <c r="K25" s="3"/>
      <c r="L25" s="4"/>
      <c r="M25" s="3"/>
      <c r="N25" s="4"/>
      <c r="O25" s="3"/>
      <c r="P25" s="4"/>
      <c r="Q25" s="18"/>
      <c r="R25" s="4"/>
      <c r="S25" s="18"/>
      <c r="T25" s="4"/>
      <c r="U25" s="28"/>
      <c r="V25" s="32"/>
      <c r="W25" s="28"/>
      <c r="X25" s="7"/>
    </row>
    <row r="26" spans="1:24" s="1" customFormat="1" x14ac:dyDescent="0.35">
      <c r="A26" s="6"/>
      <c r="B26" s="13" t="s">
        <v>118</v>
      </c>
      <c r="C26" s="15" t="s">
        <v>150</v>
      </c>
      <c r="D26" s="20" t="s">
        <v>240</v>
      </c>
      <c r="E26" s="17" t="s">
        <v>109</v>
      </c>
      <c r="F26" s="8"/>
      <c r="G26" s="3"/>
      <c r="H26" s="4"/>
      <c r="I26" s="3">
        <f t="shared" ref="I26:I30" si="2">J26*0.3</f>
        <v>160.14600000000002</v>
      </c>
      <c r="J26" s="4">
        <v>533.82000000000005</v>
      </c>
      <c r="K26" s="3"/>
      <c r="L26" s="4"/>
      <c r="M26" s="3"/>
      <c r="N26" s="4"/>
      <c r="O26" s="3"/>
      <c r="P26" s="4"/>
      <c r="Q26" s="18"/>
      <c r="R26" s="4"/>
      <c r="S26" s="18"/>
      <c r="T26" s="4"/>
      <c r="U26" s="28"/>
      <c r="V26" s="32"/>
      <c r="W26" s="28"/>
      <c r="X26" s="7"/>
    </row>
    <row r="27" spans="1:24" s="1" customFormat="1" x14ac:dyDescent="0.35">
      <c r="A27" s="6"/>
      <c r="B27" s="13" t="s">
        <v>118</v>
      </c>
      <c r="C27" s="15" t="s">
        <v>165</v>
      </c>
      <c r="D27" s="20" t="s">
        <v>240</v>
      </c>
      <c r="E27" s="17" t="s">
        <v>109</v>
      </c>
      <c r="F27" s="8"/>
      <c r="G27" s="3"/>
      <c r="H27" s="18"/>
      <c r="I27" s="3">
        <f t="shared" si="2"/>
        <v>26.747999999999998</v>
      </c>
      <c r="J27" s="4">
        <v>89.16</v>
      </c>
      <c r="K27" s="3"/>
      <c r="L27" s="4"/>
      <c r="M27" s="3"/>
      <c r="N27" s="4"/>
      <c r="O27" s="3"/>
      <c r="P27" s="4"/>
      <c r="Q27" s="18"/>
      <c r="R27" s="4"/>
      <c r="S27" s="18"/>
      <c r="T27" s="4"/>
      <c r="U27" s="28"/>
      <c r="V27" s="32"/>
      <c r="W27" s="28"/>
      <c r="X27" s="7"/>
    </row>
    <row r="28" spans="1:24" s="1" customFormat="1" x14ac:dyDescent="0.35">
      <c r="A28" s="6"/>
      <c r="B28" s="13" t="s">
        <v>111</v>
      </c>
      <c r="C28" s="15">
        <v>2200372</v>
      </c>
      <c r="D28" s="20" t="s">
        <v>240</v>
      </c>
      <c r="E28" s="17" t="s">
        <v>109</v>
      </c>
      <c r="F28" s="8"/>
      <c r="G28" s="3"/>
      <c r="I28" s="3">
        <f t="shared" si="2"/>
        <v>343.791</v>
      </c>
      <c r="J28" s="4">
        <v>1145.97</v>
      </c>
      <c r="K28" s="3"/>
      <c r="L28" s="4"/>
      <c r="M28" s="3"/>
      <c r="N28" s="4"/>
      <c r="O28" s="3"/>
      <c r="P28" s="4"/>
      <c r="Q28" s="18"/>
      <c r="R28" s="4"/>
      <c r="S28" s="18"/>
      <c r="T28" s="4"/>
      <c r="U28" s="28"/>
      <c r="V28" s="32"/>
      <c r="W28" s="28"/>
      <c r="X28" s="7"/>
    </row>
    <row r="29" spans="1:24" s="1" customFormat="1" x14ac:dyDescent="0.35">
      <c r="A29" s="6"/>
      <c r="B29" s="13" t="s">
        <v>175</v>
      </c>
      <c r="C29" s="15" t="s">
        <v>176</v>
      </c>
      <c r="D29" s="20" t="s">
        <v>240</v>
      </c>
      <c r="E29" s="17" t="s">
        <v>109</v>
      </c>
      <c r="F29" s="8"/>
      <c r="G29" s="3"/>
      <c r="H29" s="18"/>
      <c r="I29" s="3">
        <f t="shared" si="2"/>
        <v>380.12999999999994</v>
      </c>
      <c r="J29" s="4">
        <v>1267.0999999999999</v>
      </c>
      <c r="K29" s="3"/>
      <c r="L29" s="4"/>
      <c r="M29" s="3"/>
      <c r="N29" s="4"/>
      <c r="O29" s="3"/>
      <c r="P29" s="4"/>
      <c r="Q29" s="18"/>
      <c r="R29" s="4"/>
      <c r="S29" s="18"/>
      <c r="T29" s="4"/>
      <c r="U29" s="28"/>
      <c r="V29" s="32"/>
      <c r="W29" s="28"/>
      <c r="X29" s="7"/>
    </row>
    <row r="30" spans="1:24" s="1" customFormat="1" x14ac:dyDescent="0.35">
      <c r="A30" s="6"/>
      <c r="B30" s="13" t="s">
        <v>112</v>
      </c>
      <c r="C30" s="15">
        <v>2200471</v>
      </c>
      <c r="D30" s="20" t="s">
        <v>240</v>
      </c>
      <c r="E30" s="17" t="s">
        <v>109</v>
      </c>
      <c r="F30" s="8"/>
      <c r="G30" s="3"/>
      <c r="H30" s="4"/>
      <c r="I30" s="3">
        <f t="shared" si="2"/>
        <v>772.74</v>
      </c>
      <c r="J30" s="4">
        <v>2575.8000000000002</v>
      </c>
      <c r="K30" s="3"/>
      <c r="L30" s="4"/>
      <c r="M30" s="3"/>
      <c r="N30" s="4"/>
      <c r="O30" s="3"/>
      <c r="P30" s="4"/>
      <c r="Q30" s="18"/>
      <c r="R30" s="4"/>
      <c r="S30" s="18"/>
      <c r="T30" s="4"/>
      <c r="U30" s="28"/>
      <c r="V30" s="32"/>
      <c r="W30" s="28"/>
      <c r="X30" s="7"/>
    </row>
    <row r="31" spans="1:24" s="1" customFormat="1" x14ac:dyDescent="0.35">
      <c r="A31" s="6"/>
      <c r="B31" s="13" t="s">
        <v>113</v>
      </c>
      <c r="C31" s="15">
        <v>2200390</v>
      </c>
      <c r="D31" s="20" t="s">
        <v>240</v>
      </c>
      <c r="E31" s="17" t="s">
        <v>109</v>
      </c>
      <c r="F31" s="8"/>
      <c r="G31" s="3"/>
      <c r="H31" s="4"/>
      <c r="I31" s="3">
        <f>J31*0.15</f>
        <v>10202.377500000001</v>
      </c>
      <c r="J31" s="4">
        <v>68015.850000000006</v>
      </c>
      <c r="K31" s="3">
        <f>J31*0.15</f>
        <v>10202.377500000001</v>
      </c>
      <c r="L31" s="4"/>
      <c r="M31" s="3"/>
      <c r="N31" s="4"/>
      <c r="O31" s="3"/>
      <c r="P31" s="4"/>
      <c r="Q31" s="18"/>
      <c r="R31" s="4"/>
      <c r="S31" s="18"/>
      <c r="T31" s="4"/>
      <c r="U31" s="28"/>
      <c r="V31" s="32"/>
      <c r="W31" s="28"/>
      <c r="X31" s="7"/>
    </row>
    <row r="32" spans="1:24" s="1" customFormat="1" x14ac:dyDescent="0.35">
      <c r="A32" s="6"/>
      <c r="B32" s="13" t="s">
        <v>115</v>
      </c>
      <c r="C32" s="15">
        <v>2200515</v>
      </c>
      <c r="D32" s="20" t="s">
        <v>240</v>
      </c>
      <c r="E32" s="17" t="s">
        <v>109</v>
      </c>
      <c r="F32" s="8">
        <v>8185</v>
      </c>
      <c r="H32" s="4"/>
      <c r="J32" s="4">
        <v>8185</v>
      </c>
      <c r="K32" s="3">
        <f>(F32+J32)*0.3</f>
        <v>4911</v>
      </c>
      <c r="L32" s="4"/>
      <c r="M32" s="3"/>
      <c r="N32" s="4"/>
      <c r="O32" s="3"/>
      <c r="P32" s="4"/>
      <c r="Q32" s="18"/>
      <c r="R32" s="4"/>
      <c r="S32" s="18"/>
      <c r="T32" s="4"/>
      <c r="U32" s="28"/>
      <c r="V32" s="32"/>
      <c r="W32" s="28"/>
      <c r="X32" s="7"/>
    </row>
    <row r="33" spans="1:24" s="1" customFormat="1" x14ac:dyDescent="0.35">
      <c r="A33" s="6"/>
      <c r="B33" s="13" t="s">
        <v>81</v>
      </c>
      <c r="C33" s="15" t="s">
        <v>138</v>
      </c>
      <c r="D33" s="20" t="s">
        <v>240</v>
      </c>
      <c r="E33" s="17" t="s">
        <v>109</v>
      </c>
      <c r="F33" s="8"/>
      <c r="G33" s="3"/>
      <c r="H33" s="4"/>
      <c r="I33" s="3"/>
      <c r="J33" s="4"/>
      <c r="K33" s="3">
        <f>N33*0.3</f>
        <v>782.84399999999994</v>
      </c>
      <c r="L33" s="4"/>
      <c r="M33" s="3"/>
      <c r="N33" s="4">
        <v>2609.48</v>
      </c>
      <c r="O33" s="3"/>
      <c r="P33" s="4"/>
      <c r="Q33" s="18"/>
      <c r="R33" s="4"/>
      <c r="S33" s="18"/>
      <c r="T33" s="4"/>
      <c r="U33" s="28"/>
      <c r="V33" s="32"/>
      <c r="W33" s="28"/>
      <c r="X33" s="7"/>
    </row>
    <row r="34" spans="1:24" s="1" customFormat="1" x14ac:dyDescent="0.35">
      <c r="A34" s="6"/>
      <c r="B34" s="13" t="s">
        <v>146</v>
      </c>
      <c r="C34" s="15" t="s">
        <v>147</v>
      </c>
      <c r="D34" s="20" t="s">
        <v>240</v>
      </c>
      <c r="E34" s="17" t="s">
        <v>109</v>
      </c>
      <c r="F34" s="8"/>
      <c r="G34" s="3"/>
      <c r="H34" s="4"/>
      <c r="I34" s="3"/>
      <c r="J34" s="4">
        <v>1461.32</v>
      </c>
      <c r="K34" s="3">
        <f>J34*0.3</f>
        <v>438.39599999999996</v>
      </c>
      <c r="L34" s="4"/>
      <c r="M34" s="3"/>
      <c r="N34" s="4"/>
      <c r="O34" s="3"/>
      <c r="P34" s="4"/>
      <c r="Q34" s="18"/>
      <c r="R34" s="4"/>
      <c r="S34" s="18"/>
      <c r="T34" s="4"/>
      <c r="U34" s="28"/>
      <c r="V34" s="32"/>
      <c r="W34" s="28"/>
      <c r="X34" s="7"/>
    </row>
    <row r="35" spans="1:24" s="1" customFormat="1" x14ac:dyDescent="0.35">
      <c r="A35" s="6"/>
      <c r="B35" s="13" t="s">
        <v>81</v>
      </c>
      <c r="C35" s="15" t="s">
        <v>148</v>
      </c>
      <c r="D35" s="20" t="s">
        <v>240</v>
      </c>
      <c r="E35" s="17" t="s">
        <v>109</v>
      </c>
      <c r="F35" s="8"/>
      <c r="G35" s="3"/>
      <c r="H35" s="4"/>
      <c r="I35" s="3"/>
      <c r="J35" s="4"/>
      <c r="K35" s="3">
        <f>N35*0.3</f>
        <v>270.81900000000002</v>
      </c>
      <c r="L35" s="4"/>
      <c r="M35" s="3"/>
      <c r="N35" s="4">
        <v>902.73</v>
      </c>
      <c r="O35" s="3"/>
      <c r="P35" s="4"/>
      <c r="Q35" s="18"/>
      <c r="R35" s="4"/>
      <c r="S35" s="18"/>
      <c r="T35" s="4"/>
      <c r="U35" s="28"/>
      <c r="V35" s="32"/>
      <c r="W35" s="28"/>
      <c r="X35" s="7"/>
    </row>
    <row r="36" spans="1:24" s="1" customFormat="1" x14ac:dyDescent="0.35">
      <c r="A36" s="6"/>
      <c r="B36" s="13" t="s">
        <v>112</v>
      </c>
      <c r="C36" s="15">
        <v>2200396</v>
      </c>
      <c r="D36" s="20" t="s">
        <v>240</v>
      </c>
      <c r="E36" s="17" t="s">
        <v>109</v>
      </c>
      <c r="F36" s="8"/>
      <c r="G36" s="3"/>
      <c r="H36" s="4"/>
      <c r="I36" s="3">
        <f>J36*0.3</f>
        <v>4889.4539999999997</v>
      </c>
      <c r="J36" s="4">
        <v>16298.18</v>
      </c>
      <c r="K36" s="3"/>
      <c r="L36" s="4"/>
      <c r="M36" s="3"/>
      <c r="N36" s="4"/>
      <c r="O36" s="3"/>
      <c r="P36" s="4"/>
      <c r="Q36" s="18"/>
      <c r="R36" s="4"/>
      <c r="S36" s="18"/>
      <c r="T36" s="4"/>
      <c r="U36" s="28"/>
      <c r="V36" s="32"/>
      <c r="W36" s="28"/>
      <c r="X36" s="7"/>
    </row>
    <row r="37" spans="1:24" s="1" customFormat="1" x14ac:dyDescent="0.35">
      <c r="A37" s="6"/>
      <c r="B37" s="13" t="s">
        <v>112</v>
      </c>
      <c r="C37" s="15">
        <v>2200471</v>
      </c>
      <c r="D37" s="20" t="s">
        <v>240</v>
      </c>
      <c r="E37" s="17" t="s">
        <v>109</v>
      </c>
      <c r="F37" s="8"/>
      <c r="G37" s="3"/>
      <c r="H37" s="4"/>
      <c r="I37" s="3">
        <f>J37*0.3</f>
        <v>772.74</v>
      </c>
      <c r="J37" s="4">
        <v>2575.8000000000002</v>
      </c>
      <c r="K37" s="3"/>
      <c r="L37" s="4"/>
      <c r="M37" s="3"/>
      <c r="N37" s="4"/>
      <c r="O37" s="3"/>
      <c r="P37" s="4"/>
      <c r="Q37" s="18"/>
      <c r="R37" s="4"/>
      <c r="S37" s="18"/>
      <c r="T37" s="4"/>
      <c r="U37" s="28"/>
      <c r="V37" s="32"/>
      <c r="W37" s="28"/>
      <c r="X37" s="7"/>
    </row>
    <row r="38" spans="1:24" s="1" customFormat="1" x14ac:dyDescent="0.35">
      <c r="A38" s="6"/>
      <c r="B38" s="13" t="s">
        <v>151</v>
      </c>
      <c r="C38" s="15" t="s">
        <v>152</v>
      </c>
      <c r="D38" s="20" t="s">
        <v>240</v>
      </c>
      <c r="E38" s="17" t="s">
        <v>109</v>
      </c>
      <c r="F38" s="8"/>
      <c r="G38" s="3"/>
      <c r="H38" s="4"/>
      <c r="I38" s="3"/>
      <c r="J38" s="4">
        <v>5693.72</v>
      </c>
      <c r="K38" s="3">
        <f>J38*0.3</f>
        <v>1708.116</v>
      </c>
      <c r="L38" s="4"/>
      <c r="M38" s="3"/>
      <c r="N38" s="4"/>
      <c r="O38" s="3"/>
      <c r="P38" s="4"/>
      <c r="Q38" s="18"/>
      <c r="R38" s="4"/>
      <c r="S38" s="18"/>
      <c r="T38" s="4"/>
      <c r="U38" s="28"/>
      <c r="V38" s="32"/>
      <c r="W38" s="28"/>
      <c r="X38" s="7"/>
    </row>
    <row r="39" spans="1:24" s="1" customFormat="1" x14ac:dyDescent="0.35">
      <c r="A39" s="6"/>
      <c r="B39" s="13" t="s">
        <v>118</v>
      </c>
      <c r="C39" s="15" t="s">
        <v>156</v>
      </c>
      <c r="D39" s="20" t="s">
        <v>240</v>
      </c>
      <c r="E39" s="17" t="s">
        <v>109</v>
      </c>
      <c r="F39" s="8"/>
      <c r="G39" s="3"/>
      <c r="H39" s="4"/>
      <c r="I39" s="3"/>
      <c r="J39" s="4">
        <v>2725.48</v>
      </c>
      <c r="K39" s="3">
        <f t="shared" ref="K39:K49" si="3">J39*0.3</f>
        <v>817.64400000000001</v>
      </c>
      <c r="L39" s="4"/>
      <c r="M39" s="3"/>
      <c r="N39" s="4"/>
      <c r="O39" s="3"/>
      <c r="P39" s="4"/>
      <c r="Q39" s="18"/>
      <c r="R39" s="4"/>
      <c r="S39" s="18"/>
      <c r="T39" s="4"/>
      <c r="U39" s="28"/>
      <c r="V39" s="32"/>
      <c r="W39" s="28"/>
      <c r="X39" s="7"/>
    </row>
    <row r="40" spans="1:24" s="1" customFormat="1" x14ac:dyDescent="0.35">
      <c r="A40" s="6"/>
      <c r="B40" s="13" t="s">
        <v>118</v>
      </c>
      <c r="C40" s="15" t="s">
        <v>157</v>
      </c>
      <c r="D40" s="20" t="s">
        <v>240</v>
      </c>
      <c r="E40" s="17" t="s">
        <v>109</v>
      </c>
      <c r="F40" s="8"/>
      <c r="G40" s="3"/>
      <c r="H40" s="4"/>
      <c r="I40" s="3"/>
      <c r="J40" s="4">
        <v>593.64</v>
      </c>
      <c r="K40" s="3">
        <f t="shared" si="3"/>
        <v>178.09199999999998</v>
      </c>
      <c r="L40" s="4"/>
      <c r="M40" s="3"/>
      <c r="N40" s="4"/>
      <c r="O40" s="3"/>
      <c r="P40" s="4"/>
      <c r="Q40" s="18"/>
      <c r="R40" s="4"/>
      <c r="S40" s="18"/>
      <c r="T40" s="4"/>
      <c r="U40" s="28"/>
      <c r="V40" s="32"/>
      <c r="W40" s="28"/>
      <c r="X40" s="7"/>
    </row>
    <row r="41" spans="1:24" s="1" customFormat="1" x14ac:dyDescent="0.35">
      <c r="A41" s="6"/>
      <c r="B41" s="13" t="s">
        <v>118</v>
      </c>
      <c r="C41" s="15" t="s">
        <v>170</v>
      </c>
      <c r="D41" s="20" t="s">
        <v>240</v>
      </c>
      <c r="E41" s="17" t="s">
        <v>109</v>
      </c>
      <c r="F41" s="8"/>
      <c r="G41" s="3"/>
      <c r="H41" s="4"/>
      <c r="I41" s="3"/>
      <c r="J41" s="4">
        <v>91.85</v>
      </c>
      <c r="K41" s="3">
        <f t="shared" si="3"/>
        <v>27.554999999999996</v>
      </c>
      <c r="L41" s="4"/>
      <c r="M41" s="3"/>
      <c r="N41" s="4"/>
      <c r="O41" s="3"/>
      <c r="P41" s="4"/>
      <c r="Q41" s="18"/>
      <c r="R41" s="4"/>
      <c r="S41" s="18"/>
      <c r="T41" s="4"/>
      <c r="U41" s="28"/>
      <c r="V41" s="32"/>
      <c r="W41" s="28"/>
      <c r="X41" s="7"/>
    </row>
    <row r="42" spans="1:24" s="1" customFormat="1" x14ac:dyDescent="0.35">
      <c r="A42" s="6"/>
      <c r="B42" s="13" t="s">
        <v>118</v>
      </c>
      <c r="C42" s="15" t="s">
        <v>172</v>
      </c>
      <c r="D42" s="20" t="s">
        <v>240</v>
      </c>
      <c r="E42" s="17" t="s">
        <v>109</v>
      </c>
      <c r="F42" s="8"/>
      <c r="G42" s="3"/>
      <c r="H42" s="4"/>
      <c r="I42" s="3"/>
      <c r="J42" s="4">
        <v>153.1</v>
      </c>
      <c r="K42" s="3">
        <f t="shared" si="3"/>
        <v>45.93</v>
      </c>
      <c r="L42" s="4"/>
      <c r="M42" s="3"/>
      <c r="N42" s="4"/>
      <c r="O42" s="3"/>
      <c r="P42" s="4"/>
      <c r="Q42" s="18"/>
      <c r="R42" s="4"/>
      <c r="S42" s="18"/>
      <c r="T42" s="4"/>
      <c r="U42" s="28"/>
      <c r="V42" s="32"/>
      <c r="W42" s="28"/>
      <c r="X42" s="7"/>
    </row>
    <row r="43" spans="1:24" s="1" customFormat="1" x14ac:dyDescent="0.35">
      <c r="A43" s="6"/>
      <c r="B43" s="13" t="s">
        <v>118</v>
      </c>
      <c r="C43" s="15" t="s">
        <v>201</v>
      </c>
      <c r="D43" s="20" t="s">
        <v>240</v>
      </c>
      <c r="E43" s="17" t="s">
        <v>109</v>
      </c>
      <c r="F43" s="8"/>
      <c r="G43" s="3"/>
      <c r="H43" s="4"/>
      <c r="I43" s="3"/>
      <c r="J43" s="4">
        <v>1262.5</v>
      </c>
      <c r="K43" s="3">
        <f t="shared" si="3"/>
        <v>378.75</v>
      </c>
      <c r="L43" s="4"/>
      <c r="M43" s="3"/>
      <c r="N43" s="4"/>
      <c r="O43" s="3"/>
      <c r="P43" s="4"/>
      <c r="Q43" s="18"/>
      <c r="R43" s="4"/>
      <c r="S43" s="18"/>
      <c r="T43" s="4"/>
      <c r="U43" s="28"/>
      <c r="V43" s="32"/>
      <c r="W43" s="28"/>
      <c r="X43" s="7"/>
    </row>
    <row r="44" spans="1:24" s="1" customFormat="1" x14ac:dyDescent="0.35">
      <c r="A44" s="6"/>
      <c r="B44" s="13" t="s">
        <v>118</v>
      </c>
      <c r="C44" s="15" t="s">
        <v>220</v>
      </c>
      <c r="D44" s="20" t="s">
        <v>240</v>
      </c>
      <c r="E44" s="17" t="s">
        <v>109</v>
      </c>
      <c r="F44" s="8"/>
      <c r="G44" s="3"/>
      <c r="H44" s="4"/>
      <c r="I44" s="3"/>
      <c r="J44" s="4">
        <v>86.47</v>
      </c>
      <c r="K44" s="3">
        <f t="shared" si="3"/>
        <v>25.940999999999999</v>
      </c>
      <c r="L44" s="4"/>
      <c r="M44" s="3"/>
      <c r="N44" s="4"/>
      <c r="O44" s="3"/>
      <c r="P44" s="4"/>
      <c r="Q44" s="18"/>
      <c r="R44" s="4"/>
      <c r="S44" s="18"/>
      <c r="T44" s="4"/>
      <c r="U44" s="28"/>
      <c r="V44" s="32"/>
      <c r="W44" s="28"/>
      <c r="X44" s="7"/>
    </row>
    <row r="45" spans="1:24" s="1" customFormat="1" x14ac:dyDescent="0.35">
      <c r="A45" s="6"/>
      <c r="B45" s="13" t="s">
        <v>118</v>
      </c>
      <c r="C45" s="15" t="s">
        <v>222</v>
      </c>
      <c r="D45" s="20" t="s">
        <v>240</v>
      </c>
      <c r="E45" s="17" t="s">
        <v>109</v>
      </c>
      <c r="F45" s="8"/>
      <c r="G45" s="3"/>
      <c r="H45" s="4"/>
      <c r="I45" s="3"/>
      <c r="J45" s="4">
        <v>79.91</v>
      </c>
      <c r="K45" s="3">
        <f t="shared" si="3"/>
        <v>23.972999999999999</v>
      </c>
      <c r="L45" s="4"/>
      <c r="M45" s="3"/>
      <c r="N45" s="4"/>
      <c r="O45" s="3"/>
      <c r="P45" s="4"/>
      <c r="Q45" s="18"/>
      <c r="R45" s="4"/>
      <c r="S45" s="18"/>
      <c r="T45" s="4"/>
      <c r="U45" s="28"/>
      <c r="V45" s="32"/>
      <c r="W45" s="28"/>
      <c r="X45" s="7"/>
    </row>
    <row r="46" spans="1:24" s="1" customFormat="1" x14ac:dyDescent="0.35">
      <c r="A46" s="6"/>
      <c r="B46" s="13" t="s">
        <v>118</v>
      </c>
      <c r="C46" s="15" t="s">
        <v>221</v>
      </c>
      <c r="D46" s="20" t="s">
        <v>240</v>
      </c>
      <c r="E46" s="17" t="s">
        <v>109</v>
      </c>
      <c r="F46" s="8"/>
      <c r="G46" s="3"/>
      <c r="H46" s="4"/>
      <c r="I46" s="3"/>
      <c r="J46" s="4">
        <v>3845.66</v>
      </c>
      <c r="K46" s="3">
        <f t="shared" si="3"/>
        <v>1153.6979999999999</v>
      </c>
      <c r="L46" s="4"/>
      <c r="M46" s="3"/>
      <c r="N46" s="4"/>
      <c r="O46" s="3"/>
      <c r="P46" s="4"/>
      <c r="Q46" s="18"/>
      <c r="R46" s="4"/>
      <c r="S46" s="18"/>
      <c r="T46" s="4"/>
      <c r="U46" s="28"/>
      <c r="V46" s="32"/>
      <c r="W46" s="28"/>
      <c r="X46" s="7"/>
    </row>
    <row r="47" spans="1:24" s="1" customFormat="1" x14ac:dyDescent="0.35">
      <c r="A47" s="6"/>
      <c r="B47" s="13" t="s">
        <v>118</v>
      </c>
      <c r="C47" s="15" t="s">
        <v>237</v>
      </c>
      <c r="D47" s="20" t="s">
        <v>240</v>
      </c>
      <c r="E47" s="17" t="s">
        <v>109</v>
      </c>
      <c r="F47" s="8"/>
      <c r="G47" s="3"/>
      <c r="H47" s="4"/>
      <c r="I47" s="3"/>
      <c r="J47" s="4">
        <v>269.08</v>
      </c>
      <c r="K47" s="3">
        <f t="shared" si="3"/>
        <v>80.72399999999999</v>
      </c>
      <c r="L47" s="4"/>
      <c r="M47" s="3"/>
      <c r="N47" s="4"/>
      <c r="O47" s="3"/>
      <c r="P47" s="4"/>
      <c r="Q47" s="18"/>
      <c r="R47" s="4"/>
      <c r="S47" s="18"/>
      <c r="T47" s="4"/>
      <c r="U47" s="28"/>
      <c r="V47" s="32"/>
      <c r="W47" s="28"/>
      <c r="X47" s="7"/>
    </row>
    <row r="48" spans="1:24" s="1" customFormat="1" x14ac:dyDescent="0.35">
      <c r="A48" s="6"/>
      <c r="B48" s="13" t="s">
        <v>115</v>
      </c>
      <c r="C48" s="15" t="s">
        <v>163</v>
      </c>
      <c r="D48" s="20" t="s">
        <v>240</v>
      </c>
      <c r="E48" s="17" t="s">
        <v>109</v>
      </c>
      <c r="F48" s="8"/>
      <c r="G48" s="3"/>
      <c r="H48" s="4"/>
      <c r="I48" s="3"/>
      <c r="J48" s="4">
        <v>3098.06</v>
      </c>
      <c r="K48" s="3">
        <f t="shared" si="3"/>
        <v>929.41799999999989</v>
      </c>
      <c r="L48" s="4"/>
      <c r="M48" s="3"/>
      <c r="N48" s="4"/>
      <c r="O48" s="3"/>
      <c r="P48" s="4"/>
      <c r="Q48" s="18"/>
      <c r="R48" s="4"/>
      <c r="S48" s="18"/>
      <c r="T48" s="4"/>
      <c r="U48" s="28"/>
      <c r="V48" s="32"/>
      <c r="W48" s="28"/>
      <c r="X48" s="7"/>
    </row>
    <row r="49" spans="1:24" s="1" customFormat="1" x14ac:dyDescent="0.35">
      <c r="A49" s="6"/>
      <c r="B49" s="13" t="s">
        <v>168</v>
      </c>
      <c r="C49" s="15" t="s">
        <v>169</v>
      </c>
      <c r="D49" s="20" t="s">
        <v>240</v>
      </c>
      <c r="E49" s="17" t="s">
        <v>109</v>
      </c>
      <c r="F49" s="8"/>
      <c r="G49" s="3"/>
      <c r="H49" s="4"/>
      <c r="I49" s="3"/>
      <c r="J49" s="4">
        <v>517.9</v>
      </c>
      <c r="K49" s="3">
        <f t="shared" si="3"/>
        <v>155.36999999999998</v>
      </c>
      <c r="L49" s="4"/>
      <c r="M49" s="3"/>
      <c r="N49" s="4"/>
      <c r="O49" s="3"/>
      <c r="P49" s="4"/>
      <c r="Q49" s="18"/>
      <c r="R49" s="4"/>
      <c r="S49" s="18"/>
      <c r="T49" s="4"/>
      <c r="U49" s="28"/>
      <c r="V49" s="32"/>
      <c r="W49" s="28"/>
      <c r="X49" s="7"/>
    </row>
    <row r="50" spans="1:24" s="1" customFormat="1" x14ac:dyDescent="0.35">
      <c r="A50" s="6"/>
      <c r="B50" s="13" t="s">
        <v>103</v>
      </c>
      <c r="C50" s="15" t="s">
        <v>200</v>
      </c>
      <c r="D50" s="20" t="s">
        <v>240</v>
      </c>
      <c r="E50" s="17" t="s">
        <v>109</v>
      </c>
      <c r="F50" s="8"/>
      <c r="G50" s="3"/>
      <c r="H50" s="4">
        <v>520</v>
      </c>
      <c r="I50" s="3"/>
      <c r="J50" s="4"/>
      <c r="K50" s="3">
        <f>H50*0.3</f>
        <v>156</v>
      </c>
      <c r="L50" s="4"/>
      <c r="M50" s="3"/>
      <c r="N50" s="4"/>
      <c r="O50" s="3"/>
      <c r="P50" s="4"/>
      <c r="Q50" s="18"/>
      <c r="R50" s="4"/>
      <c r="S50" s="18"/>
      <c r="T50" s="4"/>
      <c r="U50" s="28"/>
      <c r="V50" s="32"/>
      <c r="W50" s="28"/>
      <c r="X50" s="7"/>
    </row>
    <row r="51" spans="1:24" s="1" customFormat="1" x14ac:dyDescent="0.35">
      <c r="A51" s="6"/>
      <c r="B51" s="13" t="s">
        <v>215</v>
      </c>
      <c r="C51" s="15" t="s">
        <v>216</v>
      </c>
      <c r="D51" s="20" t="s">
        <v>240</v>
      </c>
      <c r="E51" s="17" t="s">
        <v>109</v>
      </c>
      <c r="F51" s="8"/>
      <c r="G51" s="3"/>
      <c r="H51" s="4"/>
      <c r="I51" s="3"/>
      <c r="J51" s="4">
        <v>9061.24</v>
      </c>
      <c r="K51" s="3">
        <v>0</v>
      </c>
      <c r="L51" s="4"/>
      <c r="M51" s="3"/>
      <c r="N51" s="4"/>
      <c r="O51" s="3"/>
      <c r="P51" s="4"/>
      <c r="Q51" s="18"/>
      <c r="R51" s="4"/>
      <c r="S51" s="18"/>
      <c r="T51" s="4"/>
      <c r="U51" s="28"/>
      <c r="V51" s="32"/>
      <c r="W51" s="28"/>
      <c r="X51" s="7"/>
    </row>
    <row r="52" spans="1:24" s="1" customFormat="1" x14ac:dyDescent="0.35">
      <c r="A52" s="6"/>
      <c r="B52" s="13" t="s">
        <v>217</v>
      </c>
      <c r="C52" s="15" t="s">
        <v>218</v>
      </c>
      <c r="D52" s="20" t="s">
        <v>240</v>
      </c>
      <c r="E52" s="17" t="s">
        <v>109</v>
      </c>
      <c r="F52" s="8"/>
      <c r="G52" s="3"/>
      <c r="H52" s="4"/>
      <c r="I52" s="3"/>
      <c r="J52" s="4">
        <v>2344.9699999999998</v>
      </c>
      <c r="K52" s="3">
        <f>J52*0.3</f>
        <v>703.49099999999987</v>
      </c>
      <c r="L52" s="4"/>
      <c r="M52" s="3"/>
      <c r="N52" s="4"/>
      <c r="O52" s="3"/>
      <c r="P52" s="4"/>
      <c r="Q52" s="18"/>
      <c r="R52" s="4"/>
      <c r="S52" s="18"/>
      <c r="T52" s="4"/>
      <c r="U52" s="28"/>
      <c r="V52" s="32"/>
      <c r="W52" s="28"/>
      <c r="X52" s="7"/>
    </row>
    <row r="53" spans="1:24" s="1" customFormat="1" x14ac:dyDescent="0.35">
      <c r="A53" s="6"/>
      <c r="B53" s="13" t="s">
        <v>103</v>
      </c>
      <c r="C53" s="15" t="s">
        <v>236</v>
      </c>
      <c r="D53" s="20" t="s">
        <v>240</v>
      </c>
      <c r="E53" s="17" t="s">
        <v>109</v>
      </c>
      <c r="F53" s="8"/>
      <c r="G53" s="3"/>
      <c r="H53" s="4"/>
      <c r="I53" s="3"/>
      <c r="J53" s="4">
        <v>1247</v>
      </c>
      <c r="K53" s="3">
        <f t="shared" ref="K53:K54" si="4">J53*0.3</f>
        <v>374.09999999999997</v>
      </c>
      <c r="L53" s="4"/>
      <c r="M53" s="3"/>
      <c r="N53" s="4"/>
      <c r="O53" s="3"/>
      <c r="P53" s="4"/>
      <c r="Q53" s="18"/>
      <c r="R53" s="4"/>
      <c r="S53" s="18"/>
      <c r="T53" s="4"/>
      <c r="U53" s="28"/>
      <c r="V53" s="32"/>
      <c r="W53" s="28"/>
      <c r="X53" s="7"/>
    </row>
    <row r="54" spans="1:24" s="1" customFormat="1" x14ac:dyDescent="0.35">
      <c r="A54" s="6"/>
      <c r="B54" s="13" t="s">
        <v>232</v>
      </c>
      <c r="C54" s="15" t="s">
        <v>233</v>
      </c>
      <c r="D54" s="20" t="s">
        <v>240</v>
      </c>
      <c r="E54" s="17" t="s">
        <v>109</v>
      </c>
      <c r="F54" s="8"/>
      <c r="G54" s="3"/>
      <c r="H54" s="4"/>
      <c r="I54" s="3"/>
      <c r="J54" s="4">
        <v>155.41</v>
      </c>
      <c r="K54" s="3">
        <f t="shared" si="4"/>
        <v>46.622999999999998</v>
      </c>
      <c r="L54" s="4"/>
      <c r="M54" s="3"/>
      <c r="N54" s="4"/>
      <c r="O54" s="3"/>
      <c r="P54" s="4"/>
      <c r="Q54" s="18"/>
      <c r="R54" s="4"/>
      <c r="S54" s="18"/>
      <c r="T54" s="4"/>
      <c r="U54" s="28"/>
      <c r="V54" s="32"/>
      <c r="W54" s="28"/>
      <c r="X54" s="7"/>
    </row>
    <row r="55" spans="1:24" s="1" customFormat="1" x14ac:dyDescent="0.35">
      <c r="A55" s="6"/>
      <c r="B55" s="13"/>
      <c r="C55" s="15"/>
      <c r="D55" s="20"/>
      <c r="E55" s="17"/>
      <c r="F55" s="8"/>
      <c r="G55" s="3"/>
      <c r="H55" s="4"/>
      <c r="I55" s="3"/>
      <c r="J55" s="4"/>
      <c r="K55" s="3"/>
      <c r="L55" s="4"/>
      <c r="M55" s="3"/>
      <c r="N55" s="4"/>
      <c r="O55" s="3"/>
      <c r="P55" s="4"/>
      <c r="Q55" s="18"/>
      <c r="R55" s="4"/>
      <c r="S55" s="18"/>
      <c r="T55" s="4"/>
      <c r="U55" s="28"/>
      <c r="V55" s="32"/>
      <c r="W55" s="28"/>
      <c r="X55" s="7"/>
    </row>
    <row r="56" spans="1:24" s="1" customFormat="1" x14ac:dyDescent="0.35">
      <c r="A56" s="6"/>
      <c r="B56" s="13"/>
      <c r="C56" s="15"/>
      <c r="D56" s="20"/>
      <c r="E56" s="17"/>
      <c r="F56" s="8"/>
      <c r="G56" s="3"/>
      <c r="H56" s="4"/>
      <c r="I56" s="3"/>
      <c r="J56" s="18"/>
      <c r="K56" s="3"/>
      <c r="L56" s="4"/>
      <c r="M56" s="3"/>
      <c r="N56" s="4"/>
      <c r="O56" s="3"/>
      <c r="P56" s="4"/>
      <c r="Q56" s="18"/>
      <c r="R56" s="4"/>
      <c r="S56" s="18"/>
      <c r="T56" s="4"/>
      <c r="U56" s="28"/>
      <c r="V56" s="32"/>
      <c r="W56" s="28"/>
      <c r="X56" s="7"/>
    </row>
    <row r="57" spans="1:24" s="1" customFormat="1" x14ac:dyDescent="0.35">
      <c r="A57" s="6"/>
      <c r="B57" s="13" t="s">
        <v>112</v>
      </c>
      <c r="C57" s="15">
        <v>2200518</v>
      </c>
      <c r="D57" s="20" t="s">
        <v>240</v>
      </c>
      <c r="E57" s="17" t="s">
        <v>114</v>
      </c>
      <c r="F57" s="8"/>
      <c r="G57" s="3"/>
      <c r="H57" s="4"/>
      <c r="I57" s="3"/>
      <c r="J57" s="4"/>
      <c r="K57" s="3"/>
      <c r="L57" s="4">
        <v>0</v>
      </c>
      <c r="M57" s="3"/>
      <c r="N57" s="4"/>
      <c r="O57" s="3"/>
      <c r="P57" s="4"/>
      <c r="Q57" s="18"/>
      <c r="R57" s="4"/>
      <c r="S57" s="18"/>
      <c r="T57" s="4"/>
      <c r="U57" s="28"/>
      <c r="V57" s="32"/>
      <c r="W57" s="28"/>
      <c r="X57" s="7"/>
    </row>
    <row r="58" spans="1:24" s="1" customFormat="1" x14ac:dyDescent="0.35">
      <c r="A58" s="6"/>
      <c r="B58" s="13" t="s">
        <v>112</v>
      </c>
      <c r="C58" s="15" t="s">
        <v>140</v>
      </c>
      <c r="D58" s="20" t="s">
        <v>240</v>
      </c>
      <c r="E58" s="17" t="s">
        <v>114</v>
      </c>
      <c r="F58" s="8"/>
      <c r="G58" s="3"/>
      <c r="H58" s="4"/>
      <c r="I58" s="3"/>
      <c r="J58" s="4"/>
      <c r="K58" s="3"/>
      <c r="L58" s="4">
        <v>0</v>
      </c>
      <c r="M58" s="3"/>
      <c r="N58" s="4"/>
      <c r="O58" s="3"/>
      <c r="P58" s="4"/>
      <c r="Q58" s="18"/>
      <c r="R58" s="4"/>
      <c r="S58" s="18"/>
      <c r="T58" s="4"/>
      <c r="U58" s="28"/>
      <c r="V58" s="32"/>
      <c r="W58" s="28"/>
      <c r="X58" s="7"/>
    </row>
    <row r="59" spans="1:24" s="1" customFormat="1" x14ac:dyDescent="0.35">
      <c r="A59" s="6"/>
      <c r="B59" s="13" t="s">
        <v>112</v>
      </c>
      <c r="C59" s="15" t="s">
        <v>219</v>
      </c>
      <c r="D59" s="20" t="s">
        <v>240</v>
      </c>
      <c r="E59" s="17" t="s">
        <v>114</v>
      </c>
      <c r="F59" s="8"/>
      <c r="G59" s="3"/>
      <c r="H59" s="4"/>
      <c r="I59" s="3"/>
      <c r="J59" s="4"/>
      <c r="K59" s="3">
        <f>L59*0.3</f>
        <v>3426.7889999999998</v>
      </c>
      <c r="L59" s="4">
        <v>11422.63</v>
      </c>
      <c r="M59" s="3"/>
      <c r="N59" s="4"/>
      <c r="O59" s="3"/>
      <c r="P59" s="4"/>
      <c r="Q59" s="18"/>
      <c r="R59" s="4"/>
      <c r="S59" s="18"/>
      <c r="T59" s="4"/>
      <c r="U59" s="28"/>
      <c r="V59" s="32"/>
      <c r="W59" s="28"/>
      <c r="X59" s="7"/>
    </row>
    <row r="60" spans="1:24" s="1" customFormat="1" x14ac:dyDescent="0.35">
      <c r="A60" s="6"/>
      <c r="B60" s="13" t="s">
        <v>81</v>
      </c>
      <c r="C60" s="15">
        <v>2200549</v>
      </c>
      <c r="D60" s="20" t="s">
        <v>240</v>
      </c>
      <c r="E60" s="17" t="s">
        <v>114</v>
      </c>
      <c r="F60" s="8"/>
      <c r="G60" s="3"/>
      <c r="H60" s="4"/>
      <c r="I60" s="3"/>
      <c r="J60" s="4"/>
      <c r="K60" s="3">
        <f>N60*0.3</f>
        <v>817.19999999999993</v>
      </c>
      <c r="L60" s="4"/>
      <c r="M60" s="3"/>
      <c r="N60" s="4">
        <v>2724</v>
      </c>
      <c r="O60" s="3"/>
      <c r="P60" s="4"/>
      <c r="Q60" s="18"/>
      <c r="R60" s="4"/>
      <c r="S60" s="18"/>
      <c r="T60" s="4"/>
      <c r="U60" s="28"/>
      <c r="V60" s="32"/>
      <c r="W60" s="28"/>
      <c r="X60" s="7"/>
    </row>
    <row r="61" spans="1:24" s="1" customFormat="1" x14ac:dyDescent="0.35">
      <c r="A61" s="6"/>
      <c r="B61" s="13" t="s">
        <v>81</v>
      </c>
      <c r="C61" s="15">
        <v>2200550</v>
      </c>
      <c r="D61" s="20" t="s">
        <v>240</v>
      </c>
      <c r="E61" s="17" t="s">
        <v>114</v>
      </c>
      <c r="F61" s="8"/>
      <c r="G61" s="3"/>
      <c r="H61" s="4"/>
      <c r="I61" s="3"/>
      <c r="J61" s="4"/>
      <c r="K61" s="3">
        <f>N61*0.3</f>
        <v>1584.9689999999998</v>
      </c>
      <c r="L61" s="4"/>
      <c r="M61" s="3"/>
      <c r="N61" s="4">
        <v>5283.23</v>
      </c>
      <c r="O61" s="3"/>
      <c r="P61" s="4"/>
      <c r="Q61" s="18"/>
      <c r="R61" s="4"/>
      <c r="S61" s="18"/>
      <c r="T61" s="4"/>
      <c r="U61" s="28"/>
      <c r="V61" s="32"/>
      <c r="W61" s="28"/>
      <c r="X61" s="7"/>
    </row>
    <row r="62" spans="1:24" s="1" customFormat="1" x14ac:dyDescent="0.35">
      <c r="A62" s="6"/>
      <c r="B62" s="13" t="s">
        <v>119</v>
      </c>
      <c r="C62" s="15" t="s">
        <v>117</v>
      </c>
      <c r="D62" s="20" t="s">
        <v>240</v>
      </c>
      <c r="E62" s="17" t="s">
        <v>114</v>
      </c>
      <c r="F62" s="8"/>
      <c r="G62" s="3"/>
      <c r="H62" s="5"/>
      <c r="I62" s="3"/>
      <c r="J62" s="4"/>
      <c r="K62" s="3"/>
      <c r="L62" s="4">
        <v>7960.06</v>
      </c>
      <c r="M62" s="3">
        <f>L62*0.3</f>
        <v>2388.018</v>
      </c>
      <c r="N62" s="4"/>
      <c r="O62" s="3"/>
      <c r="P62" s="4"/>
      <c r="Q62" s="18"/>
      <c r="R62" s="4"/>
      <c r="S62" s="18"/>
      <c r="T62" s="4"/>
      <c r="U62" s="28"/>
      <c r="V62" s="32"/>
      <c r="W62" s="28"/>
      <c r="X62" s="7"/>
    </row>
    <row r="63" spans="1:24" s="1" customFormat="1" x14ac:dyDescent="0.35">
      <c r="A63" s="6"/>
      <c r="B63" s="13" t="s">
        <v>81</v>
      </c>
      <c r="C63" s="15" t="s">
        <v>137</v>
      </c>
      <c r="D63" s="20" t="s">
        <v>240</v>
      </c>
      <c r="E63" s="17" t="s">
        <v>114</v>
      </c>
      <c r="F63" s="8"/>
      <c r="G63" s="3"/>
      <c r="H63" s="4"/>
      <c r="I63" s="3"/>
      <c r="J63" s="4"/>
      <c r="K63" s="3">
        <f>N63*0.3</f>
        <v>2875.6439999999998</v>
      </c>
      <c r="L63" s="4"/>
      <c r="M63" s="3"/>
      <c r="N63" s="4">
        <v>9585.48</v>
      </c>
      <c r="O63" s="3"/>
      <c r="P63" s="4"/>
      <c r="Q63" s="18"/>
      <c r="R63" s="4"/>
      <c r="S63" s="18"/>
      <c r="T63" s="4"/>
      <c r="U63" s="28"/>
      <c r="V63" s="32"/>
      <c r="W63" s="28"/>
      <c r="X63" s="7"/>
    </row>
    <row r="64" spans="1:24" x14ac:dyDescent="0.35">
      <c r="A64" s="6"/>
      <c r="B64" s="13" t="s">
        <v>81</v>
      </c>
      <c r="C64" s="15" t="s">
        <v>141</v>
      </c>
      <c r="D64" s="20" t="s">
        <v>240</v>
      </c>
      <c r="E64" s="17" t="s">
        <v>114</v>
      </c>
      <c r="F64" s="8"/>
      <c r="G64" s="3"/>
      <c r="H64" s="4"/>
      <c r="I64" s="3"/>
      <c r="J64" s="4"/>
      <c r="K64" s="3">
        <f>N64*0.3</f>
        <v>3601.9349999999999</v>
      </c>
      <c r="L64" s="4"/>
      <c r="M64" s="3"/>
      <c r="N64" s="4">
        <v>12006.45</v>
      </c>
      <c r="O64" s="3"/>
      <c r="P64" s="4"/>
      <c r="R64" s="4"/>
      <c r="T64" s="4"/>
      <c r="U64" s="29"/>
      <c r="V64" s="32"/>
      <c r="W64" s="29"/>
    </row>
    <row r="65" spans="1:25" x14ac:dyDescent="0.35">
      <c r="A65" s="6"/>
      <c r="B65" s="13" t="s">
        <v>81</v>
      </c>
      <c r="C65" s="15" t="s">
        <v>149</v>
      </c>
      <c r="D65" s="20" t="s">
        <v>240</v>
      </c>
      <c r="E65" s="17" t="s">
        <v>114</v>
      </c>
      <c r="F65" s="8"/>
      <c r="G65" s="3"/>
      <c r="H65" s="4"/>
      <c r="I65" s="3"/>
      <c r="J65" s="4"/>
      <c r="K65" s="3"/>
      <c r="L65" s="4"/>
      <c r="M65" s="3">
        <f>P65*0.3</f>
        <v>317.77499999999998</v>
      </c>
      <c r="N65" s="4"/>
      <c r="O65" s="3"/>
      <c r="P65" s="4">
        <v>1059.25</v>
      </c>
      <c r="R65" s="4"/>
      <c r="T65" s="4"/>
      <c r="U65" s="29"/>
      <c r="V65" s="32"/>
      <c r="W65" s="29"/>
    </row>
    <row r="66" spans="1:25" x14ac:dyDescent="0.35">
      <c r="A66" s="6"/>
      <c r="B66" s="13" t="s">
        <v>81</v>
      </c>
      <c r="C66" s="15" t="s">
        <v>164</v>
      </c>
      <c r="D66" s="20" t="s">
        <v>240</v>
      </c>
      <c r="E66" s="17" t="s">
        <v>114</v>
      </c>
      <c r="F66" s="8"/>
      <c r="G66" s="3"/>
      <c r="H66" s="4"/>
      <c r="I66" s="3"/>
      <c r="J66" s="4"/>
      <c r="K66" s="3">
        <f>N66*0.3</f>
        <v>554.02499999999998</v>
      </c>
      <c r="L66" s="4"/>
      <c r="M66" s="3"/>
      <c r="N66" s="4">
        <v>1846.75</v>
      </c>
      <c r="O66" s="3"/>
      <c r="P66" s="4"/>
      <c r="R66" s="4"/>
      <c r="T66" s="4"/>
      <c r="U66" s="29"/>
      <c r="V66" s="32"/>
      <c r="W66" s="29"/>
    </row>
    <row r="67" spans="1:25" x14ac:dyDescent="0.35">
      <c r="A67" s="6"/>
      <c r="B67" s="13"/>
      <c r="C67" s="15"/>
      <c r="D67" s="20"/>
      <c r="E67" s="17"/>
      <c r="F67" s="8"/>
      <c r="G67" s="3"/>
      <c r="H67" s="4"/>
      <c r="I67" s="3"/>
      <c r="J67" s="4"/>
      <c r="K67" s="3"/>
      <c r="L67" s="4"/>
      <c r="M67" s="3"/>
      <c r="N67" s="4"/>
      <c r="O67" s="3"/>
      <c r="P67" s="4"/>
      <c r="R67" s="4"/>
      <c r="T67" s="4"/>
      <c r="U67" s="29"/>
      <c r="V67" s="32"/>
      <c r="W67" s="29"/>
    </row>
    <row r="68" spans="1:25" x14ac:dyDescent="0.35">
      <c r="A68" s="6"/>
      <c r="B68" s="13" t="s">
        <v>160</v>
      </c>
      <c r="C68" s="15" t="s">
        <v>161</v>
      </c>
      <c r="D68" s="20" t="s">
        <v>195</v>
      </c>
      <c r="E68" s="17" t="s">
        <v>162</v>
      </c>
      <c r="F68" s="8"/>
      <c r="G68" s="3"/>
      <c r="H68" s="4"/>
      <c r="I68" s="3"/>
      <c r="J68" s="4"/>
      <c r="K68" s="3">
        <f>(N68*0.3)-O68</f>
        <v>5681.6730000000007</v>
      </c>
      <c r="L68" s="4"/>
      <c r="M68" s="3"/>
      <c r="N68" s="4">
        <v>36928.910000000003</v>
      </c>
      <c r="O68" s="3">
        <v>5397</v>
      </c>
      <c r="P68" s="4"/>
      <c r="R68" s="4"/>
      <c r="T68" s="4"/>
      <c r="U68" s="29"/>
      <c r="V68" s="32"/>
      <c r="W68" s="29"/>
    </row>
    <row r="69" spans="1:25" x14ac:dyDescent="0.35">
      <c r="A69" s="6"/>
      <c r="B69" s="13"/>
      <c r="C69" s="15"/>
      <c r="D69" s="20"/>
      <c r="E69" s="17"/>
      <c r="F69" s="8"/>
      <c r="G69" s="3"/>
      <c r="H69" s="4"/>
      <c r="I69" s="3"/>
      <c r="J69" s="4"/>
      <c r="K69" s="3"/>
      <c r="L69" s="4"/>
      <c r="M69" s="3"/>
      <c r="N69" s="4"/>
      <c r="O69" s="3"/>
      <c r="P69" s="4"/>
      <c r="R69" s="4"/>
      <c r="T69" s="4"/>
      <c r="U69" s="29"/>
      <c r="V69" s="32"/>
      <c r="W69" s="29"/>
    </row>
    <row r="70" spans="1:25" x14ac:dyDescent="0.35">
      <c r="A70" s="6"/>
      <c r="B70" s="13"/>
      <c r="C70" s="15"/>
      <c r="D70" s="20"/>
      <c r="E70" s="17"/>
      <c r="F70" s="8"/>
      <c r="G70" s="3"/>
      <c r="H70" s="4"/>
      <c r="I70" s="3"/>
      <c r="J70" s="4"/>
      <c r="K70" s="3"/>
      <c r="L70" s="4"/>
      <c r="M70" s="3"/>
      <c r="N70" s="4"/>
      <c r="O70" s="3"/>
      <c r="P70" s="4"/>
      <c r="R70" s="4"/>
      <c r="T70" s="4"/>
      <c r="U70" s="29"/>
      <c r="V70" s="32"/>
      <c r="W70" s="29"/>
    </row>
    <row r="71" spans="1:25" ht="15" thickBot="1" x14ac:dyDescent="0.4">
      <c r="A71" s="6"/>
      <c r="B71" s="13" t="s">
        <v>143</v>
      </c>
      <c r="C71" s="24" t="s">
        <v>145</v>
      </c>
      <c r="D71" s="25" t="s">
        <v>195</v>
      </c>
      <c r="E71" s="17" t="s">
        <v>144</v>
      </c>
      <c r="F71" s="8"/>
      <c r="G71" s="3"/>
      <c r="H71" s="4"/>
      <c r="I71" s="3"/>
      <c r="J71" s="4">
        <v>20430</v>
      </c>
      <c r="K71" s="3">
        <f>J71*0.3</f>
        <v>6129</v>
      </c>
      <c r="L71" s="4"/>
      <c r="M71" s="3"/>
      <c r="N71" s="4"/>
      <c r="O71" s="3"/>
      <c r="P71" s="4"/>
      <c r="R71" s="4"/>
      <c r="T71" s="4"/>
      <c r="U71" s="29"/>
      <c r="V71" s="33"/>
      <c r="W71" s="30"/>
      <c r="X71" s="23"/>
      <c r="Y71" s="23"/>
    </row>
    <row r="72" spans="1:25" ht="15" thickBot="1" x14ac:dyDescent="0.4">
      <c r="A72" s="260" t="s">
        <v>241</v>
      </c>
      <c r="B72" s="261"/>
      <c r="C72" s="261"/>
      <c r="D72" s="261"/>
      <c r="E72" s="262"/>
      <c r="F72" s="41">
        <f>SUM(F2:F71)</f>
        <v>21187.84</v>
      </c>
      <c r="G72" s="41">
        <f t="shared" ref="G72:W72" si="5">SUM(G2:G71)</f>
        <v>0</v>
      </c>
      <c r="H72" s="41">
        <f t="shared" si="5"/>
        <v>8853.8799999999992</v>
      </c>
      <c r="I72" s="41">
        <f t="shared" si="5"/>
        <v>25046.785500000002</v>
      </c>
      <c r="J72" s="41">
        <f t="shared" si="5"/>
        <v>194391.71000000002</v>
      </c>
      <c r="K72" s="41">
        <f>SUM(K2:K71)</f>
        <v>53479.936499999996</v>
      </c>
      <c r="L72" s="41">
        <f t="shared" si="5"/>
        <v>19382.689999999999</v>
      </c>
      <c r="M72" s="41">
        <f t="shared" si="5"/>
        <v>2705.7930000000001</v>
      </c>
      <c r="N72" s="41">
        <f t="shared" si="5"/>
        <v>71887.03</v>
      </c>
      <c r="O72" s="41">
        <f t="shared" si="5"/>
        <v>5397</v>
      </c>
      <c r="P72" s="41">
        <f t="shared" si="5"/>
        <v>1059.25</v>
      </c>
      <c r="Q72" s="41">
        <f t="shared" si="5"/>
        <v>0</v>
      </c>
      <c r="R72" s="41">
        <f t="shared" si="5"/>
        <v>0</v>
      </c>
      <c r="S72" s="41">
        <f t="shared" si="5"/>
        <v>0</v>
      </c>
      <c r="T72" s="41">
        <f t="shared" si="5"/>
        <v>0</v>
      </c>
      <c r="U72" s="41">
        <f t="shared" si="5"/>
        <v>0</v>
      </c>
      <c r="V72" s="41">
        <f t="shared" si="5"/>
        <v>0</v>
      </c>
      <c r="W72" s="41">
        <f t="shared" si="5"/>
        <v>0</v>
      </c>
    </row>
  </sheetData>
  <mergeCells count="1">
    <mergeCell ref="A72:E72"/>
  </mergeCells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Liqui-Planung</vt:lpstr>
      <vt:lpstr>Wareneinsatz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Anja Holz</dc:creator>
  <cp:lastModifiedBy>Andrea Heinze | Consulting</cp:lastModifiedBy>
  <cp:lastPrinted>2026-06-03T09:13:58Z</cp:lastPrinted>
  <dcterms:created xsi:type="dcterms:W3CDTF">2026-02-12T09:23:14Z</dcterms:created>
  <dcterms:modified xsi:type="dcterms:W3CDTF">2026-06-16T12:05:43Z</dcterms:modified>
</cp:coreProperties>
</file>